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190" windowWidth="19440" windowHeight="6120" tabRatio="792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SC'!$A$1:$K$55</definedName>
    <definedName name="_xlnm.Print_Area" localSheetId="9">'C3-FinPerf V'!$A$1:$K$44</definedName>
    <definedName name="_xlnm.Print_Area" localSheetId="11">'C4-FinPerf RE'!$A$1:$K$52</definedName>
    <definedName name="_xlnm.Print_Area" localSheetId="12">'C5-Capex'!$A$1:$K$87</definedName>
    <definedName name="_xlnm.Print_Area" localSheetId="14">'C6-FinPos'!$A$1:$G$55</definedName>
    <definedName name="_xlnm.Print_Area" localSheetId="15">'C7-CFlow'!$A$1:$K$43</definedName>
    <definedName name="_xlnm.Print_Area" localSheetId="1">Instructions!$A$1:$M$49</definedName>
    <definedName name="_xlnm.Print_Area" localSheetId="16">'SC1'!$A$1:$E$49</definedName>
    <definedName name="_xlnm.Print_Area" localSheetId="26">'SC10'!$A$1:$K$48</definedName>
    <definedName name="_xlnm.Print_Area" localSheetId="27">'SC11'!$A$1:$K$50</definedName>
    <definedName name="_xlnm.Print_Area" localSheetId="28">'SC12'!$A$1:$J$18</definedName>
    <definedName name="_xlnm.Print_Area" localSheetId="29">SC13a!$A$1:$K$85</definedName>
    <definedName name="_xlnm.Print_Area" localSheetId="17">'SC2'!$A$1:$H$36</definedName>
    <definedName name="_xlnm.Print_Area" localSheetId="18">'SC3'!$A$1:$N$27</definedName>
    <definedName name="_xlnm.Print_Area" localSheetId="19">'SC4'!$A$1:$L$17</definedName>
    <definedName name="_xlnm.Print_Area" localSheetId="20">'SC5'!$A$1:$J$27</definedName>
    <definedName name="_xlnm.Print_Area" localSheetId="21">'SC6'!$A$1:$K$78</definedName>
    <definedName name="_xlnm.Print_Area" localSheetId="22">'SC7(1)'!$A$1:$K$52</definedName>
    <definedName name="_xlnm.Print_Area" localSheetId="23">'SC7(2)'!$A$1:$G$50</definedName>
    <definedName name="_xlnm.Print_Area" localSheetId="24">'SC8'!$A$1:$K$118</definedName>
    <definedName name="_xlnm.Print_Area" localSheetId="25">'SC9'!$A$1:$Q$65</definedName>
    <definedName name="_xlnm.Print_Area" localSheetId="0">START!$A$1:$O$42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F34" i="318" l="1"/>
  <c r="C36" i="177" l="1"/>
  <c r="C27" i="177"/>
  <c r="C11" i="177" l="1"/>
  <c r="C10" i="177"/>
  <c r="C61" i="268"/>
  <c r="C46" i="268"/>
  <c r="G27" i="177"/>
  <c r="G15" i="177"/>
  <c r="G10" i="177"/>
  <c r="G9" i="177"/>
  <c r="G8" i="177"/>
  <c r="G7" i="177"/>
  <c r="F15" i="177"/>
  <c r="F9" i="177"/>
  <c r="H58" i="268" l="1"/>
  <c r="G20" i="182"/>
  <c r="F10" i="330" l="1"/>
  <c r="F18" i="323"/>
  <c r="G35" i="182"/>
  <c r="G21" i="182"/>
  <c r="G124" i="330"/>
  <c r="G42" i="323"/>
  <c r="G211" i="323"/>
  <c r="G189" i="324"/>
  <c r="G213" i="324"/>
  <c r="G210" i="324"/>
  <c r="G73" i="268"/>
  <c r="G66" i="268"/>
  <c r="G58" i="268"/>
  <c r="G55" i="268"/>
  <c r="G46" i="268"/>
  <c r="G33" i="182"/>
  <c r="G32" i="182"/>
  <c r="G31" i="182"/>
  <c r="G30" i="182"/>
  <c r="G27" i="182"/>
  <c r="G26" i="182"/>
  <c r="G18" i="182"/>
  <c r="G17" i="182"/>
  <c r="G15" i="182"/>
  <c r="G14" i="182"/>
  <c r="G13" i="182"/>
  <c r="G11" i="182"/>
  <c r="G10" i="182"/>
  <c r="G9" i="182"/>
  <c r="G8" i="182"/>
  <c r="G6" i="182"/>
  <c r="G225" i="323"/>
  <c r="G224" i="323"/>
  <c r="G223" i="323"/>
  <c r="G222" i="323"/>
  <c r="G221" i="323"/>
  <c r="G220" i="323"/>
  <c r="G219" i="323"/>
  <c r="G214" i="323"/>
  <c r="G210" i="323"/>
  <c r="G209" i="323"/>
  <c r="G201" i="323"/>
  <c r="G197" i="323"/>
  <c r="G187" i="323"/>
  <c r="G186" i="323"/>
  <c r="G178" i="323"/>
  <c r="G175" i="323"/>
  <c r="G54" i="323"/>
  <c r="G51" i="323"/>
  <c r="G46" i="323"/>
  <c r="G41" i="323"/>
  <c r="G40" i="323"/>
  <c r="G19" i="323"/>
  <c r="G18" i="323"/>
  <c r="G10" i="323"/>
  <c r="G7" i="323"/>
  <c r="G134" i="330"/>
  <c r="G130" i="330"/>
  <c r="G127" i="330"/>
  <c r="G116" i="330"/>
  <c r="G113" i="330"/>
  <c r="G41" i="330"/>
  <c r="G110" i="330"/>
  <c r="G109" i="330"/>
  <c r="G94" i="330"/>
  <c r="G95" i="330"/>
  <c r="G93" i="330"/>
  <c r="G90" i="330"/>
  <c r="G87" i="330"/>
  <c r="G81" i="330"/>
  <c r="G79" i="330"/>
  <c r="G78" i="330"/>
  <c r="G77" i="330"/>
  <c r="G65" i="330"/>
  <c r="G61" i="330"/>
  <c r="G58" i="330"/>
  <c r="G55" i="330"/>
  <c r="G47" i="330"/>
  <c r="G13" i="330"/>
  <c r="G9" i="330"/>
  <c r="G42" i="270" l="1"/>
  <c r="H227" i="324" l="1"/>
  <c r="H73" i="268"/>
  <c r="G29" i="242"/>
  <c r="G58" i="242"/>
  <c r="G53" i="242"/>
  <c r="G13" i="242"/>
  <c r="F127" i="330" l="1"/>
  <c r="F129" i="330"/>
  <c r="G129" i="330"/>
  <c r="G12" i="330" l="1"/>
  <c r="G117" i="330" l="1"/>
  <c r="G40" i="330"/>
  <c r="G10" i="330"/>
  <c r="E58" i="242" l="1"/>
  <c r="F7" i="318" l="1"/>
  <c r="G80" i="330" l="1"/>
  <c r="E42" i="270" l="1"/>
  <c r="H58" i="242" l="1"/>
  <c r="H36" i="242"/>
  <c r="H29" i="242"/>
  <c r="H23" i="242"/>
  <c r="H17" i="242"/>
  <c r="H13" i="242"/>
  <c r="H9" i="242"/>
  <c r="H226" i="324"/>
  <c r="H28" i="182"/>
  <c r="H225" i="323"/>
  <c r="H224" i="323"/>
  <c r="H223" i="323"/>
  <c r="H222" i="323"/>
  <c r="H221" i="323"/>
  <c r="H220" i="323"/>
  <c r="H219" i="323"/>
  <c r="H214" i="323"/>
  <c r="H213" i="323"/>
  <c r="H212" i="323"/>
  <c r="H211" i="323"/>
  <c r="H210" i="323"/>
  <c r="H209" i="323"/>
  <c r="H208" i="323"/>
  <c r="H198" i="323"/>
  <c r="H197" i="323"/>
  <c r="H190" i="323"/>
  <c r="H189" i="323"/>
  <c r="H188" i="323"/>
  <c r="H187" i="323"/>
  <c r="H186" i="323"/>
  <c r="H179" i="323"/>
  <c r="H178" i="323"/>
  <c r="H177" i="323"/>
  <c r="H176" i="323"/>
  <c r="H175" i="323"/>
  <c r="H57" i="323"/>
  <c r="H56" i="323"/>
  <c r="H55" i="323"/>
  <c r="H54" i="323"/>
  <c r="H53" i="323"/>
  <c r="H52" i="323"/>
  <c r="H51" i="323"/>
  <c r="H46" i="323"/>
  <c r="H44" i="323"/>
  <c r="H43" i="323"/>
  <c r="H42" i="323"/>
  <c r="H41" i="323"/>
  <c r="H40" i="323"/>
  <c r="H29" i="323"/>
  <c r="H22" i="323"/>
  <c r="H21" i="323"/>
  <c r="H20" i="323"/>
  <c r="H19" i="323"/>
  <c r="H18" i="323"/>
  <c r="H11" i="323"/>
  <c r="H10" i="323"/>
  <c r="H9" i="323"/>
  <c r="H8" i="323"/>
  <c r="H7" i="323"/>
  <c r="H130" i="330"/>
  <c r="H127" i="330"/>
  <c r="H124" i="330"/>
  <c r="H117" i="330"/>
  <c r="H116" i="330"/>
  <c r="H113" i="330"/>
  <c r="H110" i="330"/>
  <c r="H109" i="330"/>
  <c r="H95" i="330"/>
  <c r="H93" i="330"/>
  <c r="H90" i="330"/>
  <c r="H87" i="330"/>
  <c r="H84" i="330"/>
  <c r="H82" i="330"/>
  <c r="H81" i="330"/>
  <c r="H79" i="330"/>
  <c r="H78" i="330"/>
  <c r="H77" i="330"/>
  <c r="H65" i="330"/>
  <c r="H61" i="330"/>
  <c r="H58" i="330"/>
  <c r="H55" i="330"/>
  <c r="H47" i="330"/>
  <c r="H41" i="330"/>
  <c r="H40" i="330"/>
  <c r="H26" i="330"/>
  <c r="H25" i="330"/>
  <c r="H24" i="330"/>
  <c r="H21" i="330"/>
  <c r="H18" i="330"/>
  <c r="H15" i="330"/>
  <c r="H13" i="330"/>
  <c r="H12" i="330"/>
  <c r="H10" i="330"/>
  <c r="H9" i="330"/>
  <c r="H8" i="330"/>
  <c r="H14" i="330"/>
  <c r="H62" i="325"/>
  <c r="H199" i="324" l="1"/>
  <c r="C34" i="178" l="1"/>
  <c r="C33" i="178"/>
  <c r="C20" i="178"/>
  <c r="H223" i="324" l="1"/>
  <c r="H211" i="324"/>
  <c r="H192" i="324"/>
  <c r="H188" i="324"/>
  <c r="H62" i="268"/>
  <c r="H60" i="268"/>
  <c r="H56" i="268"/>
  <c r="H54" i="268"/>
  <c r="H52" i="268"/>
  <c r="H51" i="268"/>
  <c r="H48" i="268"/>
  <c r="H45" i="268"/>
  <c r="H44" i="268"/>
  <c r="H45" i="323"/>
  <c r="H115" i="330"/>
  <c r="H114" i="330"/>
  <c r="H94" i="330"/>
  <c r="H92" i="330"/>
  <c r="H91" i="330"/>
  <c r="H89" i="330"/>
  <c r="H88" i="330"/>
  <c r="C81" i="330"/>
  <c r="C79" i="330"/>
  <c r="C77" i="330"/>
  <c r="C55" i="330"/>
  <c r="C47" i="330"/>
  <c r="H42" i="330"/>
  <c r="C40" i="330"/>
  <c r="H23" i="330"/>
  <c r="H22" i="330"/>
  <c r="H20" i="330"/>
  <c r="H19" i="330"/>
  <c r="H12" i="177" l="1"/>
  <c r="H11" i="177"/>
  <c r="H10" i="177"/>
  <c r="H9" i="177"/>
  <c r="H8" i="177"/>
  <c r="H7" i="177"/>
  <c r="H230" i="324"/>
  <c r="H229" i="324"/>
  <c r="H228" i="324"/>
  <c r="H219" i="324"/>
  <c r="H218" i="324"/>
  <c r="H217" i="324"/>
  <c r="H197" i="324"/>
  <c r="H196" i="324"/>
  <c r="H195" i="324"/>
  <c r="H194" i="324"/>
  <c r="H193" i="324"/>
  <c r="H36" i="182"/>
  <c r="H22" i="182"/>
  <c r="H228" i="323"/>
  <c r="H227" i="323"/>
  <c r="H226" i="323"/>
  <c r="H217" i="323"/>
  <c r="H216" i="323"/>
  <c r="H215" i="323"/>
  <c r="H195" i="323"/>
  <c r="H194" i="323"/>
  <c r="H193" i="323"/>
  <c r="H192" i="323"/>
  <c r="H191" i="323"/>
  <c r="H184" i="323"/>
  <c r="H183" i="323"/>
  <c r="H182" i="323"/>
  <c r="H181" i="323"/>
  <c r="H180" i="323"/>
  <c r="H49" i="323"/>
  <c r="H48" i="323"/>
  <c r="H47" i="323"/>
  <c r="H27" i="323"/>
  <c r="H26" i="323"/>
  <c r="H25" i="323"/>
  <c r="H24" i="323"/>
  <c r="H23" i="323"/>
  <c r="H16" i="323"/>
  <c r="H15" i="323"/>
  <c r="H14" i="323"/>
  <c r="H13" i="323"/>
  <c r="H12" i="323"/>
  <c r="H7" i="330"/>
  <c r="H207" i="323" l="1"/>
  <c r="F7" i="330"/>
  <c r="G7" i="330"/>
  <c r="G207" i="323" l="1"/>
  <c r="H13" i="177" l="1"/>
  <c r="H28" i="270" l="1"/>
  <c r="K36" i="177"/>
  <c r="F340" i="323" l="1"/>
  <c r="G174" i="323"/>
  <c r="G185" i="323"/>
  <c r="G196" i="323"/>
  <c r="G218" i="323"/>
  <c r="A93" i="330" l="1"/>
  <c r="I93" i="330"/>
  <c r="J93" i="330" s="1"/>
  <c r="I8" i="177" l="1"/>
  <c r="J8" i="177" s="1"/>
  <c r="I9" i="177"/>
  <c r="J9" i="177" s="1"/>
  <c r="H40" i="177" l="1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 s="1"/>
  <c r="F9" i="334"/>
  <c r="G30" i="334"/>
  <c r="G29" i="334"/>
  <c r="F46" i="334"/>
  <c r="G46" i="334" s="1"/>
  <c r="F45" i="334"/>
  <c r="F43" i="334"/>
  <c r="G43" i="334" s="1"/>
  <c r="F42" i="334"/>
  <c r="G42" i="334" s="1"/>
  <c r="F40" i="334"/>
  <c r="G40" i="334" s="1"/>
  <c r="F39" i="334"/>
  <c r="F37" i="334"/>
  <c r="G37" i="334" s="1"/>
  <c r="F36" i="334"/>
  <c r="G36" i="334" s="1"/>
  <c r="F35" i="334"/>
  <c r="G35" i="334" s="1"/>
  <c r="F34" i="334"/>
  <c r="G34" i="334" s="1"/>
  <c r="F33" i="334"/>
  <c r="G33" i="334" s="1"/>
  <c r="F32" i="334"/>
  <c r="G32" i="334" s="1"/>
  <c r="F27" i="334"/>
  <c r="G27" i="334" s="1"/>
  <c r="F26" i="334"/>
  <c r="G26" i="334" s="1"/>
  <c r="F24" i="334"/>
  <c r="G24" i="334" s="1"/>
  <c r="F23" i="334"/>
  <c r="G23" i="334" s="1"/>
  <c r="F21" i="334"/>
  <c r="G21" i="334" s="1"/>
  <c r="F20" i="334"/>
  <c r="G20" i="334" s="1"/>
  <c r="F19" i="334"/>
  <c r="G19" i="334" s="1"/>
  <c r="F18" i="334"/>
  <c r="G18" i="334" s="1"/>
  <c r="F17" i="334"/>
  <c r="G17" i="334" s="1"/>
  <c r="F15" i="334"/>
  <c r="G15" i="334" s="1"/>
  <c r="F14" i="334"/>
  <c r="G14" i="334" s="1"/>
  <c r="F13" i="334"/>
  <c r="G13" i="334" s="1"/>
  <c r="F12" i="334"/>
  <c r="G12" i="334" s="1"/>
  <c r="F11" i="334"/>
  <c r="G11" i="334" s="1"/>
  <c r="F10" i="334"/>
  <c r="G10" i="334" s="1"/>
  <c r="B106" i="100"/>
  <c r="B90" i="100"/>
  <c r="K6" i="175"/>
  <c r="N21" i="175"/>
  <c r="N14" i="175"/>
  <c r="K5" i="175"/>
  <c r="K19" i="175"/>
  <c r="C80" i="172" s="1"/>
  <c r="B80" i="172" s="1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D31" i="334"/>
  <c r="C31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D8" i="334"/>
  <c r="C8" i="334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1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 s="1"/>
  <c r="I91" i="318"/>
  <c r="J91" i="318" s="1"/>
  <c r="I90" i="318"/>
  <c r="J90" i="318" s="1"/>
  <c r="I89" i="318"/>
  <c r="J89" i="318" s="1"/>
  <c r="I78" i="318"/>
  <c r="J78" i="318" s="1"/>
  <c r="I77" i="318"/>
  <c r="J77" i="318"/>
  <c r="I76" i="318"/>
  <c r="J76" i="318" s="1"/>
  <c r="I75" i="318"/>
  <c r="J75" i="318" s="1"/>
  <c r="I63" i="318"/>
  <c r="J63" i="318" s="1"/>
  <c r="I61" i="318"/>
  <c r="J61" i="318"/>
  <c r="I60" i="318"/>
  <c r="J60" i="318" s="1"/>
  <c r="I59" i="318"/>
  <c r="J59" i="318" s="1"/>
  <c r="I58" i="318"/>
  <c r="J58" i="318" s="1"/>
  <c r="I57" i="318"/>
  <c r="J57" i="318" s="1"/>
  <c r="I41" i="318"/>
  <c r="J41" i="318" s="1"/>
  <c r="I40" i="318"/>
  <c r="J40" i="318" s="1"/>
  <c r="I39" i="318"/>
  <c r="J39" i="318" s="1"/>
  <c r="I34" i="318"/>
  <c r="J34" i="318" s="1"/>
  <c r="I35" i="318"/>
  <c r="J35" i="318" s="1"/>
  <c r="I36" i="318"/>
  <c r="J36" i="318" s="1"/>
  <c r="I37" i="318"/>
  <c r="J37" i="318" s="1"/>
  <c r="I38" i="318"/>
  <c r="J38" i="318" s="1"/>
  <c r="I42" i="318"/>
  <c r="J42" i="318" s="1"/>
  <c r="I43" i="318"/>
  <c r="J43" i="318" s="1"/>
  <c r="I44" i="318"/>
  <c r="J44" i="318" s="1"/>
  <c r="I45" i="318"/>
  <c r="J45" i="318" s="1"/>
  <c r="I23" i="318"/>
  <c r="J23" i="318" s="1"/>
  <c r="I25" i="318"/>
  <c r="J25" i="318" s="1"/>
  <c r="I24" i="318"/>
  <c r="J24" i="318" s="1"/>
  <c r="I22" i="318"/>
  <c r="J22" i="318" s="1"/>
  <c r="I12" i="318"/>
  <c r="J12" i="318" s="1"/>
  <c r="I11" i="318"/>
  <c r="J11" i="318" s="1"/>
  <c r="I10" i="318"/>
  <c r="J10" i="318" s="1"/>
  <c r="F99" i="100"/>
  <c r="E99" i="100"/>
  <c r="I82" i="333"/>
  <c r="J82" i="333" s="1"/>
  <c r="I81" i="333"/>
  <c r="J81" i="333" s="1"/>
  <c r="I80" i="333"/>
  <c r="J80" i="333" s="1"/>
  <c r="I79" i="333"/>
  <c r="J79" i="333" s="1"/>
  <c r="K78" i="333"/>
  <c r="K52" i="333" s="1"/>
  <c r="K50" i="333" s="1"/>
  <c r="H78" i="333"/>
  <c r="H52" i="333" s="1"/>
  <c r="G78" i="333"/>
  <c r="F78" i="333"/>
  <c r="F52" i="333" s="1"/>
  <c r="F50" i="333" s="1"/>
  <c r="E78" i="333"/>
  <c r="E52" i="333" s="1"/>
  <c r="E50" i="333" s="1"/>
  <c r="D78" i="333"/>
  <c r="D52" i="333" s="1"/>
  <c r="D50" i="333" s="1"/>
  <c r="C78" i="333"/>
  <c r="C52" i="333" s="1"/>
  <c r="C50" i="333" s="1"/>
  <c r="I74" i="333"/>
  <c r="J74" i="333" s="1"/>
  <c r="I73" i="333"/>
  <c r="J73" i="333" s="1"/>
  <c r="K72" i="333"/>
  <c r="H72" i="333"/>
  <c r="G72" i="333"/>
  <c r="F72" i="333"/>
  <c r="E72" i="333"/>
  <c r="D72" i="333"/>
  <c r="C72" i="333"/>
  <c r="I70" i="333"/>
  <c r="J70" i="333" s="1"/>
  <c r="I69" i="333"/>
  <c r="J69" i="333" s="1"/>
  <c r="K68" i="333"/>
  <c r="H68" i="333"/>
  <c r="G68" i="333"/>
  <c r="F68" i="333"/>
  <c r="E68" i="333"/>
  <c r="D68" i="333"/>
  <c r="C68" i="333"/>
  <c r="J67" i="333"/>
  <c r="I66" i="333"/>
  <c r="J66" i="333" s="1"/>
  <c r="I65" i="333"/>
  <c r="J65" i="333" s="1"/>
  <c r="K64" i="333"/>
  <c r="H64" i="333"/>
  <c r="G64" i="333"/>
  <c r="F64" i="333"/>
  <c r="E64" i="333"/>
  <c r="D64" i="333"/>
  <c r="C64" i="333"/>
  <c r="J63" i="333"/>
  <c r="I62" i="333"/>
  <c r="J62" i="333" s="1"/>
  <c r="I61" i="333"/>
  <c r="J61" i="333" s="1"/>
  <c r="I60" i="333"/>
  <c r="J60" i="333" s="1"/>
  <c r="I59" i="333"/>
  <c r="J59" i="333" s="1"/>
  <c r="I58" i="333"/>
  <c r="J58" i="333" s="1"/>
  <c r="I57" i="333"/>
  <c r="J57" i="333" s="1"/>
  <c r="I56" i="333"/>
  <c r="J56" i="333" s="1"/>
  <c r="I55" i="333"/>
  <c r="J55" i="333" s="1"/>
  <c r="I54" i="333"/>
  <c r="J54" i="333" s="1"/>
  <c r="I53" i="333"/>
  <c r="J53" i="333" s="1"/>
  <c r="G52" i="333"/>
  <c r="I51" i="333"/>
  <c r="J51" i="333" s="1"/>
  <c r="I49" i="333"/>
  <c r="J49" i="333" s="1"/>
  <c r="I48" i="333"/>
  <c r="J48" i="333" s="1"/>
  <c r="K47" i="333"/>
  <c r="H47" i="333"/>
  <c r="G47" i="333"/>
  <c r="F47" i="333"/>
  <c r="E47" i="333"/>
  <c r="D47" i="333"/>
  <c r="C47" i="333"/>
  <c r="I46" i="333"/>
  <c r="J46" i="333" s="1"/>
  <c r="I45" i="333"/>
  <c r="J45" i="333" s="1"/>
  <c r="I44" i="333"/>
  <c r="J44" i="333" s="1"/>
  <c r="K43" i="333"/>
  <c r="H43" i="333"/>
  <c r="G43" i="333"/>
  <c r="F43" i="333"/>
  <c r="E43" i="333"/>
  <c r="D43" i="333"/>
  <c r="C43" i="333"/>
  <c r="I42" i="333"/>
  <c r="J42" i="333" s="1"/>
  <c r="I41" i="333"/>
  <c r="J41" i="333" s="1"/>
  <c r="I40" i="333"/>
  <c r="J40" i="333" s="1"/>
  <c r="I39" i="333"/>
  <c r="J39" i="333" s="1"/>
  <c r="I38" i="333"/>
  <c r="J38" i="333" s="1"/>
  <c r="I37" i="333"/>
  <c r="J37" i="333" s="1"/>
  <c r="I36" i="333"/>
  <c r="J36" i="333" s="1"/>
  <c r="I35" i="333"/>
  <c r="J35" i="333" s="1"/>
  <c r="I34" i="333"/>
  <c r="J34" i="333" s="1"/>
  <c r="I33" i="333"/>
  <c r="J33" i="333" s="1"/>
  <c r="I32" i="333"/>
  <c r="J32" i="333" s="1"/>
  <c r="I31" i="333"/>
  <c r="J31" i="333" s="1"/>
  <c r="I30" i="333"/>
  <c r="J30" i="333" s="1"/>
  <c r="I29" i="333"/>
  <c r="J29" i="333" s="1"/>
  <c r="K28" i="333"/>
  <c r="H28" i="333"/>
  <c r="G28" i="333"/>
  <c r="F28" i="333"/>
  <c r="E28" i="333"/>
  <c r="D28" i="333"/>
  <c r="C28" i="333"/>
  <c r="J27" i="333"/>
  <c r="I26" i="333"/>
  <c r="J26" i="333" s="1"/>
  <c r="I25" i="333"/>
  <c r="J25" i="333" s="1"/>
  <c r="I24" i="333"/>
  <c r="J24" i="333" s="1"/>
  <c r="I23" i="333"/>
  <c r="J23" i="333" s="1"/>
  <c r="K22" i="333"/>
  <c r="H22" i="333"/>
  <c r="G22" i="333"/>
  <c r="F22" i="333"/>
  <c r="E22" i="333"/>
  <c r="D22" i="333"/>
  <c r="C22" i="333"/>
  <c r="I21" i="333"/>
  <c r="J21" i="333" s="1"/>
  <c r="I20" i="333"/>
  <c r="J20" i="333" s="1"/>
  <c r="K19" i="333"/>
  <c r="H19" i="333"/>
  <c r="G19" i="333"/>
  <c r="F19" i="333"/>
  <c r="E19" i="333"/>
  <c r="D19" i="333"/>
  <c r="C19" i="333"/>
  <c r="I18" i="333"/>
  <c r="J18" i="333" s="1"/>
  <c r="I17" i="333"/>
  <c r="J17" i="333" s="1"/>
  <c r="I16" i="333"/>
  <c r="J16" i="333" s="1"/>
  <c r="K15" i="333"/>
  <c r="H15" i="333"/>
  <c r="G15" i="333"/>
  <c r="F15" i="333"/>
  <c r="E15" i="333"/>
  <c r="D15" i="333"/>
  <c r="C15" i="333"/>
  <c r="I14" i="333"/>
  <c r="J14" i="333" s="1"/>
  <c r="I13" i="333"/>
  <c r="J13" i="333" s="1"/>
  <c r="I12" i="333"/>
  <c r="J12" i="333" s="1"/>
  <c r="K11" i="333"/>
  <c r="H11" i="333"/>
  <c r="G11" i="333"/>
  <c r="F11" i="333"/>
  <c r="E11" i="333"/>
  <c r="D11" i="333"/>
  <c r="C11" i="333"/>
  <c r="I10" i="333"/>
  <c r="J10" i="333" s="1"/>
  <c r="I9" i="333"/>
  <c r="J9" i="333" s="1"/>
  <c r="K8" i="333"/>
  <c r="H8" i="333"/>
  <c r="G8" i="333"/>
  <c r="F8" i="333"/>
  <c r="E8" i="333"/>
  <c r="D8" i="333"/>
  <c r="D7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C24" i="272" s="1"/>
  <c r="D174" i="323"/>
  <c r="E174" i="323"/>
  <c r="F174" i="323"/>
  <c r="H174" i="323"/>
  <c r="I174" i="323" s="1"/>
  <c r="J174" i="323" s="1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 s="1"/>
  <c r="A3" i="332"/>
  <c r="A17" i="323" s="1"/>
  <c r="D3" i="332"/>
  <c r="A4" i="332"/>
  <c r="A196" i="323" s="1"/>
  <c r="D4" i="332"/>
  <c r="A5" i="332"/>
  <c r="A207" i="323" s="1"/>
  <c r="D5" i="332"/>
  <c r="A6" i="332"/>
  <c r="A218" i="323" s="1"/>
  <c r="D6" i="332"/>
  <c r="A7" i="332"/>
  <c r="A229" i="323" s="1"/>
  <c r="D7" i="332"/>
  <c r="A8" i="332"/>
  <c r="A240" i="323" s="1"/>
  <c r="D8" i="332"/>
  <c r="A9" i="332"/>
  <c r="A251" i="323" s="1"/>
  <c r="D9" i="332"/>
  <c r="A10" i="332"/>
  <c r="A14" i="268" s="1"/>
  <c r="D10" i="332"/>
  <c r="A11" i="332"/>
  <c r="A105" i="323" s="1"/>
  <c r="D11" i="332"/>
  <c r="A12" i="332"/>
  <c r="A16" i="268" s="1"/>
  <c r="D12" i="332"/>
  <c r="A13" i="332"/>
  <c r="A35" i="268" s="1"/>
  <c r="A14" i="332"/>
  <c r="A18" i="268" s="1"/>
  <c r="D14" i="332"/>
  <c r="A15" i="332"/>
  <c r="A37" i="268" s="1"/>
  <c r="D15" i="332"/>
  <c r="A16" i="332"/>
  <c r="A20" i="268" s="1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G24" i="272"/>
  <c r="I41" i="182"/>
  <c r="J41" i="182" s="1"/>
  <c r="I42" i="182"/>
  <c r="J42" i="182" s="1"/>
  <c r="I40" i="182"/>
  <c r="J40" i="182" s="1"/>
  <c r="K70" i="268"/>
  <c r="K74" i="268" s="1"/>
  <c r="H12" i="238"/>
  <c r="F12" i="238"/>
  <c r="I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H37" i="241"/>
  <c r="I37" i="241" s="1"/>
  <c r="J37" i="241" s="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G43" i="267" s="1"/>
  <c r="I66" i="268"/>
  <c r="J66" i="268" s="1"/>
  <c r="K185" i="323"/>
  <c r="K196" i="323"/>
  <c r="K207" i="323"/>
  <c r="K218" i="323"/>
  <c r="K229" i="323"/>
  <c r="K240" i="323"/>
  <c r="K251" i="323"/>
  <c r="K262" i="323"/>
  <c r="K273" i="323"/>
  <c r="K284" i="323"/>
  <c r="K34" i="272" s="1"/>
  <c r="K295" i="323"/>
  <c r="K35" i="272" s="1"/>
  <c r="K306" i="323"/>
  <c r="K36" i="272" s="1"/>
  <c r="K317" i="323"/>
  <c r="K37" i="272" s="1"/>
  <c r="K328" i="323"/>
  <c r="K38" i="272" s="1"/>
  <c r="H185" i="323"/>
  <c r="I185" i="323" s="1"/>
  <c r="J185" i="323" s="1"/>
  <c r="H196" i="323"/>
  <c r="H26" i="272" s="1"/>
  <c r="H27" i="272"/>
  <c r="H218" i="323"/>
  <c r="H229" i="323"/>
  <c r="H240" i="323"/>
  <c r="H30" i="272" s="1"/>
  <c r="H251" i="323"/>
  <c r="H262" i="323"/>
  <c r="H273" i="323"/>
  <c r="H33" i="272" s="1"/>
  <c r="H284" i="323"/>
  <c r="H34" i="272" s="1"/>
  <c r="H295" i="323"/>
  <c r="H306" i="323"/>
  <c r="H36" i="272" s="1"/>
  <c r="H317" i="323"/>
  <c r="H37" i="272" s="1"/>
  <c r="H328" i="323"/>
  <c r="H38" i="272" s="1"/>
  <c r="G229" i="323"/>
  <c r="G240" i="323"/>
  <c r="G251" i="323"/>
  <c r="G262" i="323"/>
  <c r="G273" i="323"/>
  <c r="G33" i="272" s="1"/>
  <c r="G284" i="323"/>
  <c r="G295" i="323"/>
  <c r="G35" i="272" s="1"/>
  <c r="G306" i="323"/>
  <c r="G317" i="323"/>
  <c r="G37" i="272" s="1"/>
  <c r="G328" i="323"/>
  <c r="F185" i="323"/>
  <c r="F25" i="272" s="1"/>
  <c r="F196" i="323"/>
  <c r="F26" i="272" s="1"/>
  <c r="F207" i="323"/>
  <c r="F27" i="272" s="1"/>
  <c r="F218" i="323"/>
  <c r="F28" i="272" s="1"/>
  <c r="F229" i="323"/>
  <c r="F240" i="323"/>
  <c r="F30" i="272" s="1"/>
  <c r="F251" i="323"/>
  <c r="F262" i="323"/>
  <c r="F273" i="323"/>
  <c r="F284" i="323"/>
  <c r="F34" i="272" s="1"/>
  <c r="F295" i="323"/>
  <c r="F35" i="272" s="1"/>
  <c r="F306" i="323"/>
  <c r="F36" i="272" s="1"/>
  <c r="F317" i="323"/>
  <c r="F37" i="272" s="1"/>
  <c r="F328" i="323"/>
  <c r="F38" i="272" s="1"/>
  <c r="E185" i="323"/>
  <c r="E196" i="323"/>
  <c r="E207" i="323"/>
  <c r="E27" i="272" s="1"/>
  <c r="E218" i="323"/>
  <c r="E28" i="272" s="1"/>
  <c r="E229" i="323"/>
  <c r="E240" i="323"/>
  <c r="E251" i="323"/>
  <c r="E262" i="323"/>
  <c r="E32" i="272" s="1"/>
  <c r="E273" i="323"/>
  <c r="E284" i="323"/>
  <c r="E295" i="323"/>
  <c r="E306" i="323"/>
  <c r="E36" i="272" s="1"/>
  <c r="E317" i="323"/>
  <c r="E328" i="323"/>
  <c r="D185" i="323"/>
  <c r="D196" i="323"/>
  <c r="D26" i="272" s="1"/>
  <c r="D207" i="323"/>
  <c r="D218" i="323"/>
  <c r="D229" i="323"/>
  <c r="D240" i="323"/>
  <c r="D30" i="272" s="1"/>
  <c r="D251" i="323"/>
  <c r="D262" i="323"/>
  <c r="D273" i="323"/>
  <c r="D33" i="272" s="1"/>
  <c r="D284" i="323"/>
  <c r="D34" i="272" s="1"/>
  <c r="D295" i="323"/>
  <c r="D306" i="323"/>
  <c r="D36" i="272" s="1"/>
  <c r="D317" i="323"/>
  <c r="D328" i="323"/>
  <c r="D38" i="272" s="1"/>
  <c r="C185" i="323"/>
  <c r="C196" i="323"/>
  <c r="C207" i="323"/>
  <c r="C218" i="323"/>
  <c r="C28" i="272" s="1"/>
  <c r="C229" i="323"/>
  <c r="C240" i="323"/>
  <c r="C251" i="323"/>
  <c r="C262" i="323"/>
  <c r="C32" i="272" s="1"/>
  <c r="C273" i="323"/>
  <c r="C284" i="323"/>
  <c r="C34" i="272" s="1"/>
  <c r="C295" i="323"/>
  <c r="C35" i="272" s="1"/>
  <c r="C306" i="323"/>
  <c r="C36" i="272" s="1"/>
  <c r="C317" i="323"/>
  <c r="C37" i="272" s="1"/>
  <c r="C328" i="323"/>
  <c r="C38" i="272" s="1"/>
  <c r="D28" i="177"/>
  <c r="D18" i="177"/>
  <c r="K330" i="324"/>
  <c r="K38" i="268" s="1"/>
  <c r="K319" i="324"/>
  <c r="K37" i="268" s="1"/>
  <c r="K308" i="324"/>
  <c r="K36" i="268" s="1"/>
  <c r="K297" i="324"/>
  <c r="K35" i="268" s="1"/>
  <c r="K286" i="324"/>
  <c r="K34" i="268" s="1"/>
  <c r="K275" i="324"/>
  <c r="K33" i="268" s="1"/>
  <c r="K264" i="324"/>
  <c r="K32" i="268" s="1"/>
  <c r="K253" i="324"/>
  <c r="K31" i="268" s="1"/>
  <c r="K242" i="324"/>
  <c r="K30" i="268" s="1"/>
  <c r="K231" i="324"/>
  <c r="K29" i="268" s="1"/>
  <c r="K220" i="324"/>
  <c r="K28" i="268" s="1"/>
  <c r="K209" i="324"/>
  <c r="K27" i="268" s="1"/>
  <c r="K198" i="324"/>
  <c r="K26" i="268" s="1"/>
  <c r="K187" i="324"/>
  <c r="K25" i="268" s="1"/>
  <c r="K176" i="324"/>
  <c r="K24" i="268" s="1"/>
  <c r="G330" i="324"/>
  <c r="G38" i="268" s="1"/>
  <c r="H330" i="324"/>
  <c r="H38" i="268" s="1"/>
  <c r="F330" i="324"/>
  <c r="F38" i="268" s="1"/>
  <c r="E330" i="324"/>
  <c r="E38" i="268" s="1"/>
  <c r="D330" i="324"/>
  <c r="D38" i="268" s="1"/>
  <c r="G319" i="324"/>
  <c r="G37" i="268" s="1"/>
  <c r="H319" i="324"/>
  <c r="H37" i="268" s="1"/>
  <c r="F319" i="324"/>
  <c r="F37" i="268" s="1"/>
  <c r="E319" i="324"/>
  <c r="E37" i="268" s="1"/>
  <c r="D319" i="324"/>
  <c r="D37" i="268" s="1"/>
  <c r="G308" i="324"/>
  <c r="G36" i="268" s="1"/>
  <c r="H308" i="324"/>
  <c r="H36" i="268" s="1"/>
  <c r="F308" i="324"/>
  <c r="F36" i="268" s="1"/>
  <c r="E308" i="324"/>
  <c r="E36" i="268" s="1"/>
  <c r="D308" i="324"/>
  <c r="D36" i="268" s="1"/>
  <c r="G297" i="324"/>
  <c r="G35" i="268" s="1"/>
  <c r="H297" i="324"/>
  <c r="F297" i="324"/>
  <c r="F35" i="268" s="1"/>
  <c r="E297" i="324"/>
  <c r="E35" i="268" s="1"/>
  <c r="D297" i="324"/>
  <c r="D35" i="268" s="1"/>
  <c r="G286" i="324"/>
  <c r="G34" i="268" s="1"/>
  <c r="H286" i="324"/>
  <c r="H34" i="268" s="1"/>
  <c r="F286" i="324"/>
  <c r="F34" i="268" s="1"/>
  <c r="E286" i="324"/>
  <c r="E34" i="268" s="1"/>
  <c r="D286" i="324"/>
  <c r="D34" i="268" s="1"/>
  <c r="G275" i="324"/>
  <c r="G33" i="268" s="1"/>
  <c r="H275" i="324"/>
  <c r="H33" i="268" s="1"/>
  <c r="F275" i="324"/>
  <c r="F33" i="268" s="1"/>
  <c r="E275" i="324"/>
  <c r="E33" i="268" s="1"/>
  <c r="D275" i="324"/>
  <c r="D33" i="268" s="1"/>
  <c r="G264" i="324"/>
  <c r="G32" i="268" s="1"/>
  <c r="H264" i="324"/>
  <c r="H32" i="268" s="1"/>
  <c r="F264" i="324"/>
  <c r="F32" i="268" s="1"/>
  <c r="E264" i="324"/>
  <c r="E32" i="268" s="1"/>
  <c r="D264" i="324"/>
  <c r="D32" i="268" s="1"/>
  <c r="G253" i="324"/>
  <c r="G31" i="268" s="1"/>
  <c r="H253" i="324"/>
  <c r="F253" i="324"/>
  <c r="F31" i="268" s="1"/>
  <c r="E253" i="324"/>
  <c r="E31" i="268" s="1"/>
  <c r="D253" i="324"/>
  <c r="D31" i="268" s="1"/>
  <c r="G242" i="324"/>
  <c r="G30" i="268" s="1"/>
  <c r="H242" i="324"/>
  <c r="H30" i="268" s="1"/>
  <c r="F242" i="324"/>
  <c r="F30" i="268" s="1"/>
  <c r="E242" i="324"/>
  <c r="E30" i="268" s="1"/>
  <c r="D242" i="324"/>
  <c r="D30" i="268" s="1"/>
  <c r="G231" i="324"/>
  <c r="G29" i="268" s="1"/>
  <c r="H231" i="324"/>
  <c r="H29" i="268" s="1"/>
  <c r="F231" i="324"/>
  <c r="F29" i="268" s="1"/>
  <c r="E231" i="324"/>
  <c r="E29" i="268" s="1"/>
  <c r="D231" i="324"/>
  <c r="D29" i="268" s="1"/>
  <c r="G220" i="324"/>
  <c r="G28" i="268" s="1"/>
  <c r="H220" i="324"/>
  <c r="H28" i="268" s="1"/>
  <c r="F220" i="324"/>
  <c r="F28" i="268" s="1"/>
  <c r="E220" i="324"/>
  <c r="E28" i="268" s="1"/>
  <c r="D220" i="324"/>
  <c r="D28" i="268" s="1"/>
  <c r="G209" i="324"/>
  <c r="G27" i="268" s="1"/>
  <c r="F209" i="324"/>
  <c r="F27" i="268" s="1"/>
  <c r="E209" i="324"/>
  <c r="E27" i="268" s="1"/>
  <c r="D209" i="324"/>
  <c r="D27" i="268" s="1"/>
  <c r="G198" i="324"/>
  <c r="G26" i="268" s="1"/>
  <c r="H198" i="324"/>
  <c r="F198" i="324"/>
  <c r="F26" i="268" s="1"/>
  <c r="E198" i="324"/>
  <c r="E26" i="268" s="1"/>
  <c r="D198" i="324"/>
  <c r="D26" i="268" s="1"/>
  <c r="G187" i="324"/>
  <c r="G25" i="268" s="1"/>
  <c r="H187" i="324"/>
  <c r="H25" i="268" s="1"/>
  <c r="F187" i="324"/>
  <c r="F25" i="268" s="1"/>
  <c r="E187" i="324"/>
  <c r="E25" i="268" s="1"/>
  <c r="D187" i="324"/>
  <c r="D25" i="268" s="1"/>
  <c r="G176" i="324"/>
  <c r="G24" i="268" s="1"/>
  <c r="H176" i="324"/>
  <c r="H24" i="268" s="1"/>
  <c r="F176" i="324"/>
  <c r="F24" i="268" s="1"/>
  <c r="E176" i="324"/>
  <c r="E24" i="268" s="1"/>
  <c r="D176" i="324"/>
  <c r="D24" i="268" s="1"/>
  <c r="C319" i="324"/>
  <c r="C37" i="268" s="1"/>
  <c r="C308" i="324"/>
  <c r="C36" i="268" s="1"/>
  <c r="C297" i="324"/>
  <c r="C35" i="268" s="1"/>
  <c r="C286" i="324"/>
  <c r="C34" i="268" s="1"/>
  <c r="C275" i="324"/>
  <c r="C33" i="268" s="1"/>
  <c r="C176" i="324"/>
  <c r="C24" i="268" s="1"/>
  <c r="C330" i="324"/>
  <c r="C38" i="268" s="1"/>
  <c r="C264" i="324"/>
  <c r="C32" i="268" s="1"/>
  <c r="C253" i="324"/>
  <c r="C31" i="268" s="1"/>
  <c r="C242" i="324"/>
  <c r="C30" i="268" s="1"/>
  <c r="C231" i="324"/>
  <c r="C29" i="268" s="1"/>
  <c r="C220" i="324"/>
  <c r="C28" i="268" s="1"/>
  <c r="C209" i="324"/>
  <c r="C27" i="268" s="1"/>
  <c r="C198" i="324"/>
  <c r="C26" i="268" s="1"/>
  <c r="C187" i="324"/>
  <c r="C25" i="268" s="1"/>
  <c r="K161" i="324"/>
  <c r="K20" i="268" s="1"/>
  <c r="K150" i="324"/>
  <c r="K19" i="268" s="1"/>
  <c r="K139" i="324"/>
  <c r="K18" i="268" s="1"/>
  <c r="K128" i="324"/>
  <c r="K17" i="268" s="1"/>
  <c r="K117" i="324"/>
  <c r="K16" i="268" s="1"/>
  <c r="K106" i="324"/>
  <c r="K15" i="268" s="1"/>
  <c r="K95" i="324"/>
  <c r="K14" i="268" s="1"/>
  <c r="K84" i="324"/>
  <c r="K13" i="268" s="1"/>
  <c r="K73" i="324"/>
  <c r="K12" i="268" s="1"/>
  <c r="K62" i="324"/>
  <c r="K11" i="268" s="1"/>
  <c r="K51" i="324"/>
  <c r="K10" i="268" s="1"/>
  <c r="K40" i="324"/>
  <c r="K9" i="268" s="1"/>
  <c r="K29" i="324"/>
  <c r="K8" i="268" s="1"/>
  <c r="K18" i="324"/>
  <c r="K7" i="268" s="1"/>
  <c r="K7" i="324"/>
  <c r="K6" i="268" s="1"/>
  <c r="K21" i="268" s="1"/>
  <c r="H161" i="324"/>
  <c r="H20" i="268" s="1"/>
  <c r="G161" i="324"/>
  <c r="G20" i="268" s="1"/>
  <c r="F161" i="324"/>
  <c r="F20" i="268" s="1"/>
  <c r="E161" i="324"/>
  <c r="E20" i="268" s="1"/>
  <c r="D161" i="324"/>
  <c r="D20" i="268" s="1"/>
  <c r="H150" i="324"/>
  <c r="H19" i="268" s="1"/>
  <c r="G150" i="324"/>
  <c r="G19" i="268" s="1"/>
  <c r="F150" i="324"/>
  <c r="F19" i="268" s="1"/>
  <c r="E150" i="324"/>
  <c r="E19" i="268" s="1"/>
  <c r="D150" i="324"/>
  <c r="D19" i="268" s="1"/>
  <c r="H139" i="324"/>
  <c r="H18" i="268" s="1"/>
  <c r="G139" i="324"/>
  <c r="F139" i="324"/>
  <c r="F18" i="268" s="1"/>
  <c r="E139" i="324"/>
  <c r="E18" i="268" s="1"/>
  <c r="D139" i="324"/>
  <c r="D18" i="268" s="1"/>
  <c r="H128" i="324"/>
  <c r="G128" i="324"/>
  <c r="G17" i="268" s="1"/>
  <c r="F128" i="324"/>
  <c r="F17" i="268" s="1"/>
  <c r="E128" i="324"/>
  <c r="E17" i="268" s="1"/>
  <c r="D128" i="324"/>
  <c r="D17" i="268" s="1"/>
  <c r="H117" i="324"/>
  <c r="H16" i="268" s="1"/>
  <c r="G117" i="324"/>
  <c r="G16" i="268" s="1"/>
  <c r="F117" i="324"/>
  <c r="F16" i="268" s="1"/>
  <c r="E117" i="324"/>
  <c r="E16" i="268" s="1"/>
  <c r="D117" i="324"/>
  <c r="D16" i="268" s="1"/>
  <c r="H106" i="324"/>
  <c r="H15" i="268" s="1"/>
  <c r="G106" i="324"/>
  <c r="G15" i="268" s="1"/>
  <c r="F106" i="324"/>
  <c r="F15" i="268" s="1"/>
  <c r="E106" i="324"/>
  <c r="E15" i="268" s="1"/>
  <c r="D106" i="324"/>
  <c r="D15" i="268" s="1"/>
  <c r="H95" i="324"/>
  <c r="H14" i="268" s="1"/>
  <c r="G95" i="324"/>
  <c r="F95" i="324"/>
  <c r="F14" i="268" s="1"/>
  <c r="E95" i="324"/>
  <c r="E14" i="268" s="1"/>
  <c r="D95" i="324"/>
  <c r="D14" i="268" s="1"/>
  <c r="H84" i="324"/>
  <c r="G84" i="324"/>
  <c r="G13" i="268" s="1"/>
  <c r="F84" i="324"/>
  <c r="F13" i="268" s="1"/>
  <c r="E84" i="324"/>
  <c r="E13" i="268" s="1"/>
  <c r="D84" i="324"/>
  <c r="D13" i="268" s="1"/>
  <c r="H73" i="324"/>
  <c r="H12" i="268" s="1"/>
  <c r="G73" i="324"/>
  <c r="G12" i="268" s="1"/>
  <c r="F73" i="324"/>
  <c r="F12" i="268" s="1"/>
  <c r="E73" i="324"/>
  <c r="E12" i="268" s="1"/>
  <c r="D73" i="324"/>
  <c r="D12" i="268" s="1"/>
  <c r="H62" i="324"/>
  <c r="H11" i="268" s="1"/>
  <c r="G62" i="324"/>
  <c r="G11" i="268" s="1"/>
  <c r="F62" i="324"/>
  <c r="F11" i="268" s="1"/>
  <c r="E62" i="324"/>
  <c r="E11" i="268" s="1"/>
  <c r="D62" i="324"/>
  <c r="D11" i="268" s="1"/>
  <c r="H51" i="324"/>
  <c r="H10" i="268" s="1"/>
  <c r="G51" i="324"/>
  <c r="F51" i="324"/>
  <c r="F10" i="268" s="1"/>
  <c r="E51" i="324"/>
  <c r="E10" i="268" s="1"/>
  <c r="D51" i="324"/>
  <c r="D10" i="268" s="1"/>
  <c r="H40" i="324"/>
  <c r="H9" i="268" s="1"/>
  <c r="G40" i="324"/>
  <c r="G9" i="268" s="1"/>
  <c r="F40" i="324"/>
  <c r="F9" i="268" s="1"/>
  <c r="E40" i="324"/>
  <c r="E9" i="268" s="1"/>
  <c r="D40" i="324"/>
  <c r="D9" i="268" s="1"/>
  <c r="H29" i="324"/>
  <c r="H8" i="268" s="1"/>
  <c r="G29" i="324"/>
  <c r="G8" i="268" s="1"/>
  <c r="F29" i="324"/>
  <c r="F8" i="268" s="1"/>
  <c r="E29" i="324"/>
  <c r="E8" i="268" s="1"/>
  <c r="D29" i="324"/>
  <c r="D8" i="268" s="1"/>
  <c r="H18" i="324"/>
  <c r="H7" i="268" s="1"/>
  <c r="G18" i="324"/>
  <c r="G7" i="268" s="1"/>
  <c r="F18" i="324"/>
  <c r="F7" i="268" s="1"/>
  <c r="E18" i="324"/>
  <c r="E7" i="268" s="1"/>
  <c r="D18" i="324"/>
  <c r="D7" i="268" s="1"/>
  <c r="H7" i="324"/>
  <c r="H6" i="268" s="1"/>
  <c r="G7" i="324"/>
  <c r="F7" i="324"/>
  <c r="F6" i="268" s="1"/>
  <c r="E7" i="324"/>
  <c r="E6" i="268" s="1"/>
  <c r="D7" i="324"/>
  <c r="D6" i="268" s="1"/>
  <c r="C161" i="324"/>
  <c r="C20" i="268" s="1"/>
  <c r="C150" i="324"/>
  <c r="C19" i="268" s="1"/>
  <c r="C139" i="324"/>
  <c r="C18" i="268" s="1"/>
  <c r="C128" i="324"/>
  <c r="C17" i="268" s="1"/>
  <c r="C117" i="324"/>
  <c r="C16" i="268" s="1"/>
  <c r="C106" i="324"/>
  <c r="C15" i="268" s="1"/>
  <c r="C95" i="324"/>
  <c r="C14" i="268" s="1"/>
  <c r="C84" i="324"/>
  <c r="C13" i="268" s="1"/>
  <c r="C73" i="324"/>
  <c r="C12" i="268" s="1"/>
  <c r="C62" i="324"/>
  <c r="C11" i="268" s="1"/>
  <c r="C51" i="324"/>
  <c r="C10" i="268" s="1"/>
  <c r="C40" i="324"/>
  <c r="C9" i="268" s="1"/>
  <c r="C29" i="324"/>
  <c r="C8" i="268" s="1"/>
  <c r="C18" i="324"/>
  <c r="C7" i="268" s="1"/>
  <c r="C7" i="324"/>
  <c r="C6" i="268" s="1"/>
  <c r="D70" i="268"/>
  <c r="D74" i="268" s="1"/>
  <c r="E70" i="268"/>
  <c r="F70" i="268"/>
  <c r="F74" i="268" s="1"/>
  <c r="G70" i="268"/>
  <c r="F29" i="267" s="1"/>
  <c r="H70" i="268"/>
  <c r="H74" i="268" s="1"/>
  <c r="K39" i="268"/>
  <c r="C70" i="268"/>
  <c r="A75" i="100"/>
  <c r="C18" i="177"/>
  <c r="B43" i="267" s="1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I8" i="242" s="1"/>
  <c r="J8" i="242" s="1"/>
  <c r="H11" i="242"/>
  <c r="H15" i="242"/>
  <c r="H19" i="242"/>
  <c r="I19" i="242" s="1"/>
  <c r="J19" i="242" s="1"/>
  <c r="H22" i="242"/>
  <c r="I22" i="242" s="1"/>
  <c r="J22" i="242" s="1"/>
  <c r="H28" i="242"/>
  <c r="H43" i="242"/>
  <c r="H47" i="242"/>
  <c r="I47" i="242" s="1"/>
  <c r="J47" i="242" s="1"/>
  <c r="H64" i="242"/>
  <c r="I64" i="242" s="1"/>
  <c r="J64" i="242" s="1"/>
  <c r="H68" i="242"/>
  <c r="H72" i="242"/>
  <c r="H8" i="326"/>
  <c r="I8" i="326" s="1"/>
  <c r="J8" i="326" s="1"/>
  <c r="H11" i="326"/>
  <c r="I11" i="326" s="1"/>
  <c r="J11" i="326" s="1"/>
  <c r="H15" i="326"/>
  <c r="H19" i="326"/>
  <c r="H22" i="326"/>
  <c r="I22" i="326" s="1"/>
  <c r="J22" i="326" s="1"/>
  <c r="H28" i="326"/>
  <c r="I28" i="326" s="1"/>
  <c r="J28" i="326" s="1"/>
  <c r="H43" i="326"/>
  <c r="H47" i="326"/>
  <c r="H64" i="326"/>
  <c r="H68" i="326"/>
  <c r="I68" i="326" s="1"/>
  <c r="J68" i="326" s="1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3" i="272"/>
  <c r="E38" i="272"/>
  <c r="E37" i="272"/>
  <c r="D37" i="272"/>
  <c r="H35" i="272"/>
  <c r="E35" i="272"/>
  <c r="D35" i="272"/>
  <c r="E34" i="272"/>
  <c r="F33" i="272"/>
  <c r="E33" i="272"/>
  <c r="C33" i="272"/>
  <c r="K160" i="323"/>
  <c r="K20" i="272" s="1"/>
  <c r="K149" i="323"/>
  <c r="K19" i="272" s="1"/>
  <c r="K138" i="323"/>
  <c r="K18" i="272" s="1"/>
  <c r="K127" i="323"/>
  <c r="K17" i="272" s="1"/>
  <c r="K116" i="323"/>
  <c r="K16" i="272" s="1"/>
  <c r="K105" i="323"/>
  <c r="K15" i="272" s="1"/>
  <c r="K94" i="323"/>
  <c r="K14" i="272" s="1"/>
  <c r="G105" i="323"/>
  <c r="H105" i="323"/>
  <c r="H15" i="272" s="1"/>
  <c r="G116" i="323"/>
  <c r="G16" i="272" s="1"/>
  <c r="H116" i="323"/>
  <c r="G127" i="323"/>
  <c r="H127" i="323"/>
  <c r="H17" i="272" s="1"/>
  <c r="G138" i="323"/>
  <c r="G18" i="272" s="1"/>
  <c r="H138" i="323"/>
  <c r="H18" i="272" s="1"/>
  <c r="G149" i="323"/>
  <c r="H149" i="323"/>
  <c r="H19" i="272" s="1"/>
  <c r="G160" i="323"/>
  <c r="G20" i="272" s="1"/>
  <c r="H160" i="323"/>
  <c r="F160" i="323"/>
  <c r="F20" i="272" s="1"/>
  <c r="E160" i="323"/>
  <c r="E20" i="272" s="1"/>
  <c r="D160" i="323"/>
  <c r="D20" i="272" s="1"/>
  <c r="F149" i="323"/>
  <c r="F19" i="272" s="1"/>
  <c r="E149" i="323"/>
  <c r="E19" i="272" s="1"/>
  <c r="D149" i="323"/>
  <c r="D19" i="272" s="1"/>
  <c r="F138" i="323"/>
  <c r="F18" i="272" s="1"/>
  <c r="E138" i="323"/>
  <c r="E18" i="272" s="1"/>
  <c r="D138" i="323"/>
  <c r="D18" i="272" s="1"/>
  <c r="F127" i="323"/>
  <c r="F17" i="272" s="1"/>
  <c r="E127" i="323"/>
  <c r="E17" i="272" s="1"/>
  <c r="D127" i="323"/>
  <c r="D17" i="272" s="1"/>
  <c r="F116" i="323"/>
  <c r="F16" i="272" s="1"/>
  <c r="E116" i="323"/>
  <c r="E16" i="272" s="1"/>
  <c r="D116" i="323"/>
  <c r="D16" i="272" s="1"/>
  <c r="F105" i="323"/>
  <c r="F15" i="272" s="1"/>
  <c r="E105" i="323"/>
  <c r="E15" i="272" s="1"/>
  <c r="D105" i="323"/>
  <c r="D15" i="272" s="1"/>
  <c r="C160" i="323"/>
  <c r="C20" i="272" s="1"/>
  <c r="C149" i="323"/>
  <c r="C19" i="272" s="1"/>
  <c r="C138" i="323"/>
  <c r="C18" i="272" s="1"/>
  <c r="C127" i="323"/>
  <c r="C17" i="272" s="1"/>
  <c r="C116" i="323"/>
  <c r="C16" i="272" s="1"/>
  <c r="X36" i="329"/>
  <c r="F77" i="100"/>
  <c r="B77" i="100" s="1"/>
  <c r="B27" i="322"/>
  <c r="B73" i="100" s="1"/>
  <c r="I79" i="242"/>
  <c r="J79" i="242" s="1"/>
  <c r="I80" i="242"/>
  <c r="J80" i="242" s="1"/>
  <c r="I81" i="242"/>
  <c r="J81" i="242" s="1"/>
  <c r="I82" i="242"/>
  <c r="J82" i="242" s="1"/>
  <c r="I79" i="326"/>
  <c r="J79" i="326" s="1"/>
  <c r="I80" i="326"/>
  <c r="J80" i="326" s="1"/>
  <c r="I81" i="326"/>
  <c r="J81" i="326" s="1"/>
  <c r="I82" i="326"/>
  <c r="J82" i="326" s="1"/>
  <c r="I79" i="325"/>
  <c r="J79" i="325" s="1"/>
  <c r="I80" i="325"/>
  <c r="J80" i="325" s="1"/>
  <c r="I81" i="325"/>
  <c r="J81" i="325" s="1"/>
  <c r="I82" i="325"/>
  <c r="J82" i="325" s="1"/>
  <c r="H78" i="242"/>
  <c r="H52" i="242" s="1"/>
  <c r="H50" i="242" s="1"/>
  <c r="G78" i="242"/>
  <c r="G52" i="242" s="1"/>
  <c r="H78" i="326"/>
  <c r="H52" i="326" s="1"/>
  <c r="H50" i="326" s="1"/>
  <c r="G78" i="326"/>
  <c r="G52" i="326" s="1"/>
  <c r="G50" i="326" s="1"/>
  <c r="H78" i="325"/>
  <c r="G78" i="325"/>
  <c r="G52" i="325" s="1"/>
  <c r="K78" i="242"/>
  <c r="K52" i="242" s="1"/>
  <c r="K50" i="242" s="1"/>
  <c r="F78" i="242"/>
  <c r="F52" i="242" s="1"/>
  <c r="F50" i="242" s="1"/>
  <c r="E78" i="242"/>
  <c r="E52" i="242" s="1"/>
  <c r="E50" i="242" s="1"/>
  <c r="D78" i="242"/>
  <c r="D52" i="242" s="1"/>
  <c r="D50" i="242" s="1"/>
  <c r="C78" i="242"/>
  <c r="C52" i="242" s="1"/>
  <c r="C50" i="242" s="1"/>
  <c r="K78" i="326"/>
  <c r="K52" i="326" s="1"/>
  <c r="K50" i="326" s="1"/>
  <c r="F78" i="326"/>
  <c r="F52" i="326" s="1"/>
  <c r="F50" i="326" s="1"/>
  <c r="E78" i="326"/>
  <c r="E52" i="326" s="1"/>
  <c r="E50" i="326" s="1"/>
  <c r="D78" i="326"/>
  <c r="D52" i="326" s="1"/>
  <c r="D50" i="326" s="1"/>
  <c r="C78" i="326"/>
  <c r="C52" i="326" s="1"/>
  <c r="C50" i="326" s="1"/>
  <c r="K78" i="325"/>
  <c r="K52" i="325" s="1"/>
  <c r="F78" i="325"/>
  <c r="F52" i="325" s="1"/>
  <c r="E78" i="325"/>
  <c r="E52" i="325" s="1"/>
  <c r="D78" i="325"/>
  <c r="D52" i="325" s="1"/>
  <c r="C78" i="325"/>
  <c r="C52" i="325" s="1"/>
  <c r="C7" i="330"/>
  <c r="C7" i="241" s="1"/>
  <c r="C11" i="330"/>
  <c r="C9" i="241" s="1"/>
  <c r="C17" i="330"/>
  <c r="C11" i="241" s="1"/>
  <c r="C27" i="330"/>
  <c r="C34" i="330"/>
  <c r="C15" i="241" s="1"/>
  <c r="C39" i="330"/>
  <c r="C17" i="241" s="1"/>
  <c r="C43" i="330"/>
  <c r="C18" i="241" s="1"/>
  <c r="C49" i="330"/>
  <c r="C19" i="241" s="1"/>
  <c r="C54" i="330"/>
  <c r="C57" i="330"/>
  <c r="C22" i="241" s="1"/>
  <c r="C60" i="330"/>
  <c r="C23" i="241" s="1"/>
  <c r="C64" i="330"/>
  <c r="C24" i="241" s="1"/>
  <c r="K7" i="330"/>
  <c r="K11" i="330"/>
  <c r="K9" i="241" s="1"/>
  <c r="K17" i="330"/>
  <c r="K27" i="330"/>
  <c r="K13" i="241" s="1"/>
  <c r="K34" i="330"/>
  <c r="K15" i="241" s="1"/>
  <c r="K39" i="330"/>
  <c r="K17" i="241" s="1"/>
  <c r="K43" i="330"/>
  <c r="K49" i="330"/>
  <c r="K19" i="241" s="1"/>
  <c r="K54" i="330"/>
  <c r="K57" i="330"/>
  <c r="K22" i="241" s="1"/>
  <c r="K60" i="330"/>
  <c r="K23" i="241" s="1"/>
  <c r="K64" i="330"/>
  <c r="K24" i="241" s="1"/>
  <c r="K66" i="330"/>
  <c r="K25" i="241" s="1"/>
  <c r="K76" i="330"/>
  <c r="K30" i="241" s="1"/>
  <c r="K80" i="330"/>
  <c r="K86" i="330"/>
  <c r="K34" i="241" s="1"/>
  <c r="K96" i="330"/>
  <c r="K103" i="330"/>
  <c r="K38" i="241" s="1"/>
  <c r="K108" i="330"/>
  <c r="K112" i="330"/>
  <c r="K41" i="241" s="1"/>
  <c r="K118" i="330"/>
  <c r="K42" i="241" s="1"/>
  <c r="K123" i="330"/>
  <c r="K44" i="241" s="1"/>
  <c r="K126" i="330"/>
  <c r="K45" i="241" s="1"/>
  <c r="K129" i="330"/>
  <c r="K46" i="241" s="1"/>
  <c r="K133" i="330"/>
  <c r="K47" i="241" s="1"/>
  <c r="K135" i="330"/>
  <c r="K48" i="241" s="1"/>
  <c r="H7" i="241"/>
  <c r="H11" i="330"/>
  <c r="H9" i="241" s="1"/>
  <c r="H17" i="330"/>
  <c r="H11" i="241" s="1"/>
  <c r="H27" i="330"/>
  <c r="H34" i="330"/>
  <c r="H15" i="241" s="1"/>
  <c r="H39" i="330"/>
  <c r="H17" i="241" s="1"/>
  <c r="H43" i="330"/>
  <c r="H18" i="241" s="1"/>
  <c r="H49" i="330"/>
  <c r="H54" i="330"/>
  <c r="H57" i="330"/>
  <c r="H22" i="241" s="1"/>
  <c r="H60" i="330"/>
  <c r="H23" i="241" s="1"/>
  <c r="H64" i="330"/>
  <c r="H24" i="241" s="1"/>
  <c r="H66" i="330"/>
  <c r="H76" i="330"/>
  <c r="H30" i="241" s="1"/>
  <c r="H80" i="330"/>
  <c r="H32" i="241" s="1"/>
  <c r="H86" i="330"/>
  <c r="H96" i="330"/>
  <c r="H36" i="241" s="1"/>
  <c r="H103" i="330"/>
  <c r="H38" i="241" s="1"/>
  <c r="H108" i="330"/>
  <c r="H40" i="241" s="1"/>
  <c r="H112" i="330"/>
  <c r="H41" i="241" s="1"/>
  <c r="H118" i="330"/>
  <c r="H42" i="241" s="1"/>
  <c r="H123" i="330"/>
  <c r="H44" i="241" s="1"/>
  <c r="H126" i="330"/>
  <c r="H45" i="241" s="1"/>
  <c r="H129" i="330"/>
  <c r="H46" i="241" s="1"/>
  <c r="H133" i="330"/>
  <c r="H47" i="241" s="1"/>
  <c r="H135" i="330"/>
  <c r="G7" i="241"/>
  <c r="G11" i="330"/>
  <c r="G9" i="241" s="1"/>
  <c r="G17" i="330"/>
  <c r="G27" i="330"/>
  <c r="G13" i="241" s="1"/>
  <c r="G34" i="330"/>
  <c r="G39" i="330"/>
  <c r="G17" i="241" s="1"/>
  <c r="G43" i="330"/>
  <c r="G49" i="330"/>
  <c r="G54" i="330"/>
  <c r="G57" i="330"/>
  <c r="G22" i="241" s="1"/>
  <c r="G60" i="330"/>
  <c r="G23" i="241" s="1"/>
  <c r="G64" i="330"/>
  <c r="G24" i="241" s="1"/>
  <c r="G66" i="330"/>
  <c r="G25" i="241" s="1"/>
  <c r="G76" i="330"/>
  <c r="G30" i="241" s="1"/>
  <c r="G86" i="330"/>
  <c r="G96" i="330"/>
  <c r="G36" i="241" s="1"/>
  <c r="G103" i="330"/>
  <c r="G38" i="241" s="1"/>
  <c r="G108" i="330"/>
  <c r="G40" i="241" s="1"/>
  <c r="G112" i="330"/>
  <c r="G41" i="241" s="1"/>
  <c r="G118" i="330"/>
  <c r="G123" i="330"/>
  <c r="G126" i="330"/>
  <c r="I126" i="330" s="1"/>
  <c r="J126" i="330" s="1"/>
  <c r="G46" i="241"/>
  <c r="G133" i="330"/>
  <c r="G135" i="330"/>
  <c r="G48" i="241" s="1"/>
  <c r="F7" i="241"/>
  <c r="F11" i="330"/>
  <c r="F9" i="241" s="1"/>
  <c r="F17" i="330"/>
  <c r="F11" i="241" s="1"/>
  <c r="F27" i="330"/>
  <c r="F13" i="241" s="1"/>
  <c r="F34" i="330"/>
  <c r="F15" i="241" s="1"/>
  <c r="F39" i="330"/>
  <c r="F43" i="330"/>
  <c r="F18" i="241" s="1"/>
  <c r="F49" i="330"/>
  <c r="F19" i="241" s="1"/>
  <c r="F54" i="330"/>
  <c r="F21" i="241" s="1"/>
  <c r="F57" i="330"/>
  <c r="F22" i="241" s="1"/>
  <c r="F60" i="330"/>
  <c r="F23" i="241" s="1"/>
  <c r="F64" i="330"/>
  <c r="F24" i="241" s="1"/>
  <c r="F66" i="330"/>
  <c r="F25" i="241" s="1"/>
  <c r="F76" i="330"/>
  <c r="F30" i="241" s="1"/>
  <c r="F80" i="330"/>
  <c r="F32" i="241" s="1"/>
  <c r="F86" i="330"/>
  <c r="F34" i="241" s="1"/>
  <c r="F96" i="330"/>
  <c r="F36" i="241" s="1"/>
  <c r="F103" i="330"/>
  <c r="F38" i="241" s="1"/>
  <c r="F108" i="330"/>
  <c r="F112" i="330"/>
  <c r="F41" i="241" s="1"/>
  <c r="F118" i="330"/>
  <c r="F42" i="241" s="1"/>
  <c r="F123" i="330"/>
  <c r="F126" i="330"/>
  <c r="F45" i="241" s="1"/>
  <c r="F46" i="241"/>
  <c r="F133" i="330"/>
  <c r="F47" i="241" s="1"/>
  <c r="F135" i="330"/>
  <c r="F48" i="241" s="1"/>
  <c r="E7" i="330"/>
  <c r="E11" i="330"/>
  <c r="E9" i="241" s="1"/>
  <c r="E17" i="330"/>
  <c r="E27" i="330"/>
  <c r="E13" i="241" s="1"/>
  <c r="E34" i="330"/>
  <c r="E15" i="241" s="1"/>
  <c r="E39" i="330"/>
  <c r="E17" i="241" s="1"/>
  <c r="E43" i="330"/>
  <c r="E49" i="330"/>
  <c r="E19" i="241" s="1"/>
  <c r="E54" i="330"/>
  <c r="E57" i="330"/>
  <c r="E22" i="241" s="1"/>
  <c r="E60" i="330"/>
  <c r="E23" i="241" s="1"/>
  <c r="E64" i="330"/>
  <c r="E24" i="241" s="1"/>
  <c r="E66" i="330"/>
  <c r="E25" i="241" s="1"/>
  <c r="E76" i="330"/>
  <c r="E30" i="241" s="1"/>
  <c r="E80" i="330"/>
  <c r="E86" i="330"/>
  <c r="E34" i="241" s="1"/>
  <c r="E96" i="330"/>
  <c r="E36" i="241" s="1"/>
  <c r="E103" i="330"/>
  <c r="E38" i="241" s="1"/>
  <c r="E108" i="330"/>
  <c r="E112" i="330"/>
  <c r="E41" i="241" s="1"/>
  <c r="E118" i="330"/>
  <c r="E42" i="241" s="1"/>
  <c r="E123" i="330"/>
  <c r="E126" i="330"/>
  <c r="E45" i="241" s="1"/>
  <c r="E129" i="330"/>
  <c r="E46" i="241" s="1"/>
  <c r="E133" i="330"/>
  <c r="E47" i="241" s="1"/>
  <c r="E135" i="330"/>
  <c r="E48" i="241" s="1"/>
  <c r="D7" i="330"/>
  <c r="D7" i="241" s="1"/>
  <c r="D11" i="330"/>
  <c r="D9" i="241" s="1"/>
  <c r="D17" i="330"/>
  <c r="D27" i="330"/>
  <c r="D13" i="241" s="1"/>
  <c r="D34" i="330"/>
  <c r="D15" i="241" s="1"/>
  <c r="D39" i="330"/>
  <c r="D17" i="241" s="1"/>
  <c r="D43" i="330"/>
  <c r="D18" i="241" s="1"/>
  <c r="D49" i="330"/>
  <c r="D19" i="241" s="1"/>
  <c r="D54" i="330"/>
  <c r="D57" i="330"/>
  <c r="D60" i="330"/>
  <c r="D23" i="241" s="1"/>
  <c r="D64" i="330"/>
  <c r="D24" i="241" s="1"/>
  <c r="D66" i="330"/>
  <c r="D25" i="241" s="1"/>
  <c r="D76" i="330"/>
  <c r="D80" i="330"/>
  <c r="D32" i="241" s="1"/>
  <c r="D86" i="330"/>
  <c r="D96" i="330"/>
  <c r="D36" i="241" s="1"/>
  <c r="D103" i="330"/>
  <c r="D38" i="241" s="1"/>
  <c r="D108" i="330"/>
  <c r="D112" i="330"/>
  <c r="D41" i="241" s="1"/>
  <c r="D118" i="330"/>
  <c r="D42" i="241" s="1"/>
  <c r="D123" i="330"/>
  <c r="D126" i="330"/>
  <c r="D45" i="241" s="1"/>
  <c r="D129" i="330"/>
  <c r="D46" i="241" s="1"/>
  <c r="D133" i="330"/>
  <c r="D47" i="241" s="1"/>
  <c r="D135" i="330"/>
  <c r="D48" i="241" s="1"/>
  <c r="C135" i="330"/>
  <c r="C48" i="241" s="1"/>
  <c r="C133" i="330"/>
  <c r="C47" i="241" s="1"/>
  <c r="C129" i="330"/>
  <c r="C46" i="241" s="1"/>
  <c r="C126" i="330"/>
  <c r="C123" i="330"/>
  <c r="C118" i="330"/>
  <c r="C42" i="241" s="1"/>
  <c r="C112" i="330"/>
  <c r="C41" i="241" s="1"/>
  <c r="C108" i="330"/>
  <c r="C40" i="241" s="1"/>
  <c r="C103" i="330"/>
  <c r="C38" i="241" s="1"/>
  <c r="C96" i="330"/>
  <c r="C36" i="241" s="1"/>
  <c r="C86" i="330"/>
  <c r="C34" i="241" s="1"/>
  <c r="C80" i="330"/>
  <c r="C32" i="241" s="1"/>
  <c r="C76" i="330"/>
  <c r="C30" i="241" s="1"/>
  <c r="I140" i="330"/>
  <c r="J140" i="330" s="1"/>
  <c r="I139" i="330"/>
  <c r="J139" i="330" s="1"/>
  <c r="I138" i="330"/>
  <c r="J138" i="330" s="1"/>
  <c r="I137" i="330"/>
  <c r="J137" i="330" s="1"/>
  <c r="I136" i="330"/>
  <c r="J136" i="330" s="1"/>
  <c r="I134" i="330"/>
  <c r="J134" i="330" s="1"/>
  <c r="I132" i="330"/>
  <c r="J132" i="330" s="1"/>
  <c r="I131" i="330"/>
  <c r="J131" i="330" s="1"/>
  <c r="I130" i="330"/>
  <c r="J130" i="330" s="1"/>
  <c r="I128" i="330"/>
  <c r="J128" i="330" s="1"/>
  <c r="I127" i="330"/>
  <c r="J127" i="330" s="1"/>
  <c r="I125" i="330"/>
  <c r="J125" i="330" s="1"/>
  <c r="I124" i="330"/>
  <c r="J124" i="330" s="1"/>
  <c r="I121" i="330"/>
  <c r="J121" i="330" s="1"/>
  <c r="I120" i="330"/>
  <c r="J120" i="330" s="1"/>
  <c r="I119" i="330"/>
  <c r="J119" i="330" s="1"/>
  <c r="I117" i="330"/>
  <c r="J117" i="330" s="1"/>
  <c r="I116" i="330"/>
  <c r="J116" i="330" s="1"/>
  <c r="I115" i="330"/>
  <c r="J115" i="330" s="1"/>
  <c r="I114" i="330"/>
  <c r="J114" i="330" s="1"/>
  <c r="I113" i="330"/>
  <c r="J113" i="330" s="1"/>
  <c r="I111" i="330"/>
  <c r="J111" i="330" s="1"/>
  <c r="I110" i="330"/>
  <c r="J110" i="330" s="1"/>
  <c r="I109" i="330"/>
  <c r="J109" i="330" s="1"/>
  <c r="I106" i="330"/>
  <c r="J106" i="330" s="1"/>
  <c r="I105" i="330"/>
  <c r="J105" i="330" s="1"/>
  <c r="I104" i="330"/>
  <c r="J104" i="330" s="1"/>
  <c r="I102" i="330"/>
  <c r="J102" i="330" s="1"/>
  <c r="I101" i="330"/>
  <c r="J101" i="330" s="1"/>
  <c r="I100" i="330"/>
  <c r="J100" i="330" s="1"/>
  <c r="I99" i="330"/>
  <c r="J99" i="330" s="1"/>
  <c r="I98" i="330"/>
  <c r="J98" i="330" s="1"/>
  <c r="I97" i="330"/>
  <c r="J97" i="330" s="1"/>
  <c r="I95" i="330"/>
  <c r="J95" i="330" s="1"/>
  <c r="I94" i="330"/>
  <c r="J94" i="330" s="1"/>
  <c r="I92" i="330"/>
  <c r="J92" i="330" s="1"/>
  <c r="I91" i="330"/>
  <c r="J91" i="330" s="1"/>
  <c r="I90" i="330"/>
  <c r="J90" i="330" s="1"/>
  <c r="I89" i="330"/>
  <c r="J89" i="330" s="1"/>
  <c r="I88" i="330"/>
  <c r="J88" i="330" s="1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 s="1"/>
  <c r="I70" i="330"/>
  <c r="J70" i="330" s="1"/>
  <c r="I69" i="330"/>
  <c r="J69" i="330" s="1"/>
  <c r="I68" i="330"/>
  <c r="J68" i="330" s="1"/>
  <c r="I67" i="330"/>
  <c r="J67" i="330" s="1"/>
  <c r="I65" i="330"/>
  <c r="J65" i="330" s="1"/>
  <c r="I63" i="330"/>
  <c r="J63" i="330" s="1"/>
  <c r="I62" i="330"/>
  <c r="J62" i="330" s="1"/>
  <c r="I61" i="330"/>
  <c r="J61" i="330" s="1"/>
  <c r="I59" i="330"/>
  <c r="J59" i="330" s="1"/>
  <c r="I58" i="330"/>
  <c r="J58" i="330" s="1"/>
  <c r="I56" i="330"/>
  <c r="J56" i="330" s="1"/>
  <c r="I55" i="330"/>
  <c r="J55" i="330" s="1"/>
  <c r="I52" i="330"/>
  <c r="J52" i="330" s="1"/>
  <c r="I51" i="330"/>
  <c r="J51" i="330" s="1"/>
  <c r="I50" i="330"/>
  <c r="J50" i="330" s="1"/>
  <c r="I48" i="330"/>
  <c r="J48" i="330" s="1"/>
  <c r="I47" i="330"/>
  <c r="J47" i="330" s="1"/>
  <c r="I46" i="330"/>
  <c r="J46" i="330" s="1"/>
  <c r="I45" i="330"/>
  <c r="J45" i="330" s="1"/>
  <c r="I44" i="330"/>
  <c r="J44" i="330" s="1"/>
  <c r="I42" i="330"/>
  <c r="J42" i="330" s="1"/>
  <c r="I41" i="330"/>
  <c r="J41" i="330" s="1"/>
  <c r="I40" i="330"/>
  <c r="J40" i="330" s="1"/>
  <c r="I37" i="330"/>
  <c r="J37" i="330" s="1"/>
  <c r="I36" i="330"/>
  <c r="J36" i="330" s="1"/>
  <c r="I35" i="330"/>
  <c r="J35" i="330" s="1"/>
  <c r="I33" i="330"/>
  <c r="J33" i="330" s="1"/>
  <c r="I32" i="330"/>
  <c r="J32" i="330" s="1"/>
  <c r="I31" i="330"/>
  <c r="J31" i="330" s="1"/>
  <c r="I30" i="330"/>
  <c r="J30" i="330" s="1"/>
  <c r="I29" i="330"/>
  <c r="J29" i="330" s="1"/>
  <c r="I28" i="330"/>
  <c r="J28" i="330" s="1"/>
  <c r="I26" i="330"/>
  <c r="J26" i="330" s="1"/>
  <c r="I25" i="330"/>
  <c r="J25" i="330" s="1"/>
  <c r="I24" i="330"/>
  <c r="J24" i="330" s="1"/>
  <c r="I23" i="330"/>
  <c r="J23" i="330" s="1"/>
  <c r="I22" i="330"/>
  <c r="J22" i="330" s="1"/>
  <c r="I21" i="330"/>
  <c r="J21" i="330" s="1"/>
  <c r="I20" i="330"/>
  <c r="J20" i="330" s="1"/>
  <c r="I19" i="330"/>
  <c r="J19" i="330" s="1"/>
  <c r="I18" i="330"/>
  <c r="J18" i="330" s="1"/>
  <c r="I15" i="330"/>
  <c r="J15" i="330" s="1"/>
  <c r="I14" i="330"/>
  <c r="J14" i="330" s="1"/>
  <c r="I13" i="330"/>
  <c r="J13" i="330" s="1"/>
  <c r="I12" i="330"/>
  <c r="J12" i="330" s="1"/>
  <c r="I10" i="330"/>
  <c r="J10" i="330" s="1"/>
  <c r="I9" i="330"/>
  <c r="J9" i="330" s="1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B82" i="100" s="1"/>
  <c r="F81" i="100"/>
  <c r="F80" i="100"/>
  <c r="B80" i="100" s="1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K37" i="177"/>
  <c r="J45" i="267" s="1"/>
  <c r="H37" i="177"/>
  <c r="G37" i="177"/>
  <c r="F45" i="267" s="1"/>
  <c r="F37" i="177"/>
  <c r="E37" i="177"/>
  <c r="D45" i="267" s="1"/>
  <c r="D37" i="177"/>
  <c r="C37" i="177"/>
  <c r="B45" i="267" s="1"/>
  <c r="K28" i="177"/>
  <c r="H28" i="177"/>
  <c r="G28" i="177"/>
  <c r="F44" i="267" s="1"/>
  <c r="F28" i="177"/>
  <c r="E28" i="177"/>
  <c r="D44" i="267" s="1"/>
  <c r="C28" i="177"/>
  <c r="K18" i="177"/>
  <c r="G18" i="177"/>
  <c r="F43" i="267" s="1"/>
  <c r="F18" i="177"/>
  <c r="E43" i="267" s="1"/>
  <c r="E18" i="177"/>
  <c r="D43" i="267" s="1"/>
  <c r="E77" i="100"/>
  <c r="E46" i="267"/>
  <c r="G48" i="178"/>
  <c r="J40" i="267" s="1"/>
  <c r="G40" i="178"/>
  <c r="J39" i="267" s="1"/>
  <c r="G35" i="178"/>
  <c r="G25" i="178"/>
  <c r="J37" i="267" s="1"/>
  <c r="G13" i="178"/>
  <c r="J36" i="267" s="1"/>
  <c r="E48" i="178"/>
  <c r="D40" i="267" s="1"/>
  <c r="D48" i="178"/>
  <c r="E40" i="178"/>
  <c r="D39" i="267" s="1"/>
  <c r="D40" i="178"/>
  <c r="C39" i="267" s="1"/>
  <c r="E35" i="178"/>
  <c r="D35" i="178"/>
  <c r="E25" i="178"/>
  <c r="D37" i="267" s="1"/>
  <c r="D25" i="178"/>
  <c r="C37" i="267" s="1"/>
  <c r="E13" i="178"/>
  <c r="D13" i="178"/>
  <c r="C36" i="267" s="1"/>
  <c r="C48" i="178"/>
  <c r="B40" i="267" s="1"/>
  <c r="C40" i="178"/>
  <c r="C35" i="178"/>
  <c r="B38" i="267" s="1"/>
  <c r="C25" i="178"/>
  <c r="C13" i="178"/>
  <c r="B36" i="267" s="1"/>
  <c r="J32" i="267"/>
  <c r="J31" i="267"/>
  <c r="J30" i="267"/>
  <c r="G32" i="267"/>
  <c r="E32" i="267"/>
  <c r="D32" i="267"/>
  <c r="C32" i="267"/>
  <c r="G31" i="267"/>
  <c r="F31" i="267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H24" i="267" s="1"/>
  <c r="I24" i="267" s="1"/>
  <c r="F24" i="267"/>
  <c r="E24" i="267"/>
  <c r="D24" i="267"/>
  <c r="C24" i="267"/>
  <c r="B24" i="267"/>
  <c r="K37" i="182"/>
  <c r="J6" i="267"/>
  <c r="J7" i="267"/>
  <c r="J11" i="267" s="1"/>
  <c r="J9" i="267"/>
  <c r="K23" i="182"/>
  <c r="J21" i="267"/>
  <c r="J22" i="267"/>
  <c r="G22" i="267"/>
  <c r="F22" i="267"/>
  <c r="E22" i="267"/>
  <c r="D22" i="267"/>
  <c r="C22" i="267"/>
  <c r="G21" i="267"/>
  <c r="H21" i="267" s="1"/>
  <c r="I21" i="267" s="1"/>
  <c r="F21" i="267"/>
  <c r="E21" i="267"/>
  <c r="D21" i="267"/>
  <c r="C21" i="267"/>
  <c r="B22" i="267"/>
  <c r="B21" i="267"/>
  <c r="H37" i="182"/>
  <c r="G37" i="182"/>
  <c r="F37" i="182"/>
  <c r="E37" i="182"/>
  <c r="F45" i="174" s="1"/>
  <c r="D37" i="182"/>
  <c r="C37" i="182"/>
  <c r="F6" i="267"/>
  <c r="F7" i="267"/>
  <c r="F9" i="267"/>
  <c r="G23" i="182"/>
  <c r="G55" i="174" s="1"/>
  <c r="G27" i="174" s="1"/>
  <c r="G6" i="267"/>
  <c r="H6" i="267" s="1"/>
  <c r="I6" i="267" s="1"/>
  <c r="G7" i="267"/>
  <c r="G9" i="267"/>
  <c r="H9" i="267" s="1"/>
  <c r="I9" i="267" s="1"/>
  <c r="H23" i="182"/>
  <c r="H54" i="182" s="1"/>
  <c r="H13" i="267"/>
  <c r="I13" i="267" s="1"/>
  <c r="I6" i="182"/>
  <c r="J6" i="182" s="1"/>
  <c r="I7" i="182"/>
  <c r="J7" i="182" s="1"/>
  <c r="I8" i="182"/>
  <c r="J8" i="182" s="1"/>
  <c r="I9" i="182"/>
  <c r="J9" i="182" s="1"/>
  <c r="I10" i="182"/>
  <c r="J10" i="182" s="1"/>
  <c r="I11" i="182"/>
  <c r="J11" i="182" s="1"/>
  <c r="I12" i="182"/>
  <c r="J12" i="182" s="1"/>
  <c r="I14" i="182"/>
  <c r="J14" i="182" s="1"/>
  <c r="I15" i="182"/>
  <c r="J15" i="182" s="1"/>
  <c r="I20" i="182"/>
  <c r="J20" i="182" s="1"/>
  <c r="E6" i="267"/>
  <c r="E7" i="267"/>
  <c r="E9" i="267"/>
  <c r="F23" i="182"/>
  <c r="F54" i="182" s="1"/>
  <c r="D6" i="267"/>
  <c r="D7" i="267"/>
  <c r="D9" i="267"/>
  <c r="E23" i="182"/>
  <c r="C6" i="267"/>
  <c r="C7" i="267"/>
  <c r="C9" i="267"/>
  <c r="D23" i="182"/>
  <c r="D54" i="182" s="1"/>
  <c r="B6" i="267"/>
  <c r="B7" i="267"/>
  <c r="C23" i="182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K6" i="173"/>
  <c r="B104" i="172" s="1"/>
  <c r="K7" i="173"/>
  <c r="C104" i="172" s="1"/>
  <c r="K8" i="173"/>
  <c r="D104" i="172" s="1"/>
  <c r="K9" i="173"/>
  <c r="E104" i="172" s="1"/>
  <c r="K10" i="173"/>
  <c r="F104" i="172" s="1"/>
  <c r="K11" i="173"/>
  <c r="G104" i="172" s="1"/>
  <c r="K12" i="173"/>
  <c r="H104" i="172" s="1"/>
  <c r="K13" i="173"/>
  <c r="I104" i="172" s="1"/>
  <c r="K14" i="173"/>
  <c r="J104" i="172" s="1"/>
  <c r="B44" i="267"/>
  <c r="C44" i="267"/>
  <c r="E44" i="267"/>
  <c r="J44" i="267"/>
  <c r="C45" i="267"/>
  <c r="E45" i="267"/>
  <c r="C14" i="175"/>
  <c r="B50" i="267" s="1"/>
  <c r="D14" i="175"/>
  <c r="C50" i="267" s="1"/>
  <c r="E14" i="175"/>
  <c r="D50" i="267" s="1"/>
  <c r="F14" i="175"/>
  <c r="E50" i="267" s="1"/>
  <c r="G14" i="175"/>
  <c r="F50" i="267" s="1"/>
  <c r="H14" i="175"/>
  <c r="G50" i="267" s="1"/>
  <c r="I14" i="175"/>
  <c r="H50" i="267" s="1"/>
  <c r="J14" i="175"/>
  <c r="I50" i="267" s="1"/>
  <c r="K40" i="177"/>
  <c r="G29" i="267"/>
  <c r="E29" i="267"/>
  <c r="J29" i="267"/>
  <c r="C6" i="323"/>
  <c r="C6" i="272" s="1"/>
  <c r="C17" i="323"/>
  <c r="C7" i="272" s="1"/>
  <c r="C28" i="323"/>
  <c r="C39" i="323"/>
  <c r="C9" i="272" s="1"/>
  <c r="C50" i="323"/>
  <c r="C10" i="272" s="1"/>
  <c r="C61" i="323"/>
  <c r="C72" i="323"/>
  <c r="C83" i="323"/>
  <c r="C13" i="272" s="1"/>
  <c r="C94" i="323"/>
  <c r="C14" i="272" s="1"/>
  <c r="C105" i="323"/>
  <c r="C15" i="272" s="1"/>
  <c r="H6" i="323"/>
  <c r="H6" i="272" s="1"/>
  <c r="H17" i="323"/>
  <c r="H28" i="323"/>
  <c r="H8" i="272" s="1"/>
  <c r="H39" i="323"/>
  <c r="H9" i="272" s="1"/>
  <c r="H50" i="323"/>
  <c r="H61" i="323"/>
  <c r="H11" i="272" s="1"/>
  <c r="H72" i="323"/>
  <c r="H12" i="272" s="1"/>
  <c r="H83" i="323"/>
  <c r="H13" i="272" s="1"/>
  <c r="H94" i="323"/>
  <c r="G6" i="323"/>
  <c r="G17" i="323"/>
  <c r="G7" i="272" s="1"/>
  <c r="G28" i="323"/>
  <c r="G8" i="272" s="1"/>
  <c r="G39" i="323"/>
  <c r="G9" i="272" s="1"/>
  <c r="G50" i="323"/>
  <c r="G10" i="272" s="1"/>
  <c r="G61" i="323"/>
  <c r="G72" i="323"/>
  <c r="G83" i="323"/>
  <c r="G13" i="272" s="1"/>
  <c r="G94" i="323"/>
  <c r="D6" i="323"/>
  <c r="D6" i="272" s="1"/>
  <c r="D17" i="323"/>
  <c r="D28" i="323"/>
  <c r="D39" i="323"/>
  <c r="D9" i="272" s="1"/>
  <c r="D50" i="323"/>
  <c r="D10" i="272" s="1"/>
  <c r="D61" i="323"/>
  <c r="D11" i="272" s="1"/>
  <c r="D72" i="323"/>
  <c r="D83" i="323"/>
  <c r="D13" i="272" s="1"/>
  <c r="D94" i="323"/>
  <c r="D14" i="272" s="1"/>
  <c r="E6" i="323"/>
  <c r="E17" i="323"/>
  <c r="E28" i="323"/>
  <c r="E8" i="272" s="1"/>
  <c r="E39" i="323"/>
  <c r="E9" i="272" s="1"/>
  <c r="E50" i="323"/>
  <c r="E10" i="272" s="1"/>
  <c r="E61" i="323"/>
  <c r="E11" i="272" s="1"/>
  <c r="E72" i="323"/>
  <c r="E12" i="272" s="1"/>
  <c r="E83" i="323"/>
  <c r="E13" i="272" s="1"/>
  <c r="E94" i="323"/>
  <c r="E14" i="272" s="1"/>
  <c r="F6" i="323"/>
  <c r="F17" i="323"/>
  <c r="F28" i="323"/>
  <c r="F8" i="272" s="1"/>
  <c r="F39" i="323"/>
  <c r="F9" i="272" s="1"/>
  <c r="F50" i="323"/>
  <c r="F10" i="272" s="1"/>
  <c r="F61" i="323"/>
  <c r="F11" i="272" s="1"/>
  <c r="F72" i="323"/>
  <c r="F12" i="272" s="1"/>
  <c r="F83" i="323"/>
  <c r="F13" i="272" s="1"/>
  <c r="F94" i="323"/>
  <c r="K6" i="323"/>
  <c r="K17" i="323"/>
  <c r="K7" i="272" s="1"/>
  <c r="K28" i="323"/>
  <c r="K8" i="272" s="1"/>
  <c r="K39" i="323"/>
  <c r="K50" i="323"/>
  <c r="K10" i="272" s="1"/>
  <c r="K61" i="323"/>
  <c r="K11" i="272" s="1"/>
  <c r="K72" i="323"/>
  <c r="K12" i="272" s="1"/>
  <c r="K83" i="323"/>
  <c r="A43" i="241"/>
  <c r="A57" i="268" s="1"/>
  <c r="A44" i="241"/>
  <c r="A58" i="268" s="1"/>
  <c r="A45" i="241"/>
  <c r="A59" i="268" s="1"/>
  <c r="A46" i="241"/>
  <c r="A60" i="268" s="1"/>
  <c r="A47" i="241"/>
  <c r="A61" i="268" s="1"/>
  <c r="A48" i="241"/>
  <c r="A62" i="268" s="1"/>
  <c r="A30" i="241"/>
  <c r="A44" i="268" s="1"/>
  <c r="A31" i="241"/>
  <c r="A45" i="268" s="1"/>
  <c r="A32" i="241"/>
  <c r="A46" i="268" s="1"/>
  <c r="A33" i="241"/>
  <c r="A47" i="268" s="1"/>
  <c r="A34" i="241"/>
  <c r="A48" i="268" s="1"/>
  <c r="A35" i="241"/>
  <c r="A49" i="268" s="1"/>
  <c r="A36" i="241"/>
  <c r="A50" i="268" s="1"/>
  <c r="A37" i="241"/>
  <c r="A38" i="241"/>
  <c r="A52" i="268" s="1"/>
  <c r="A39" i="241"/>
  <c r="A53" i="268" s="1"/>
  <c r="A40" i="241"/>
  <c r="A54" i="268" s="1"/>
  <c r="A41" i="241"/>
  <c r="A42" i="241"/>
  <c r="A56" i="268" s="1"/>
  <c r="E79" i="100"/>
  <c r="A29" i="241"/>
  <c r="A43" i="268" s="1"/>
  <c r="I12" i="241"/>
  <c r="J12" i="241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 s="1"/>
  <c r="I338" i="323"/>
  <c r="J338" i="323" s="1"/>
  <c r="I337" i="323"/>
  <c r="J337" i="323" s="1"/>
  <c r="I336" i="323"/>
  <c r="J336" i="323" s="1"/>
  <c r="I335" i="323"/>
  <c r="J335" i="323" s="1"/>
  <c r="I334" i="323"/>
  <c r="J334" i="323" s="1"/>
  <c r="I333" i="323"/>
  <c r="J333" i="323" s="1"/>
  <c r="I332" i="323"/>
  <c r="J332" i="323" s="1"/>
  <c r="I331" i="323"/>
  <c r="J331" i="323" s="1"/>
  <c r="I330" i="323"/>
  <c r="J330" i="323" s="1"/>
  <c r="I329" i="323"/>
  <c r="J329" i="323" s="1"/>
  <c r="I327" i="323"/>
  <c r="J327" i="323" s="1"/>
  <c r="I326" i="323"/>
  <c r="J326" i="323" s="1"/>
  <c r="I325" i="323"/>
  <c r="J325" i="323" s="1"/>
  <c r="I324" i="323"/>
  <c r="J324" i="323" s="1"/>
  <c r="I323" i="323"/>
  <c r="J323" i="323" s="1"/>
  <c r="I322" i="323"/>
  <c r="J322" i="323" s="1"/>
  <c r="I321" i="323"/>
  <c r="J321" i="323" s="1"/>
  <c r="I320" i="323"/>
  <c r="J320" i="323" s="1"/>
  <c r="I319" i="323"/>
  <c r="J319" i="323" s="1"/>
  <c r="I318" i="323"/>
  <c r="J318" i="323" s="1"/>
  <c r="I317" i="323"/>
  <c r="J317" i="323" s="1"/>
  <c r="I316" i="323"/>
  <c r="J316" i="323" s="1"/>
  <c r="I315" i="323"/>
  <c r="J315" i="323" s="1"/>
  <c r="I314" i="323"/>
  <c r="J314" i="323" s="1"/>
  <c r="I313" i="323"/>
  <c r="J313" i="323" s="1"/>
  <c r="I312" i="323"/>
  <c r="J312" i="323" s="1"/>
  <c r="I311" i="323"/>
  <c r="J311" i="323" s="1"/>
  <c r="I310" i="323"/>
  <c r="J310" i="323" s="1"/>
  <c r="I309" i="323"/>
  <c r="J309" i="323" s="1"/>
  <c r="I308" i="323"/>
  <c r="J308" i="323" s="1"/>
  <c r="I307" i="323"/>
  <c r="J307" i="323" s="1"/>
  <c r="I305" i="323"/>
  <c r="J305" i="323" s="1"/>
  <c r="I304" i="323"/>
  <c r="J304" i="323" s="1"/>
  <c r="I303" i="323"/>
  <c r="J303" i="323" s="1"/>
  <c r="I302" i="323"/>
  <c r="J302" i="323" s="1"/>
  <c r="I301" i="323"/>
  <c r="J301" i="323" s="1"/>
  <c r="I300" i="323"/>
  <c r="J300" i="323" s="1"/>
  <c r="I299" i="323"/>
  <c r="J299" i="323" s="1"/>
  <c r="I298" i="323"/>
  <c r="J298" i="323" s="1"/>
  <c r="I297" i="323"/>
  <c r="J297" i="323" s="1"/>
  <c r="I296" i="323"/>
  <c r="J296" i="323" s="1"/>
  <c r="I295" i="323"/>
  <c r="J295" i="323" s="1"/>
  <c r="I294" i="323"/>
  <c r="J294" i="323" s="1"/>
  <c r="I293" i="323"/>
  <c r="J293" i="323" s="1"/>
  <c r="I292" i="323"/>
  <c r="J292" i="323" s="1"/>
  <c r="I291" i="323"/>
  <c r="J291" i="323" s="1"/>
  <c r="I290" i="323"/>
  <c r="J290" i="323" s="1"/>
  <c r="I289" i="323"/>
  <c r="J289" i="323" s="1"/>
  <c r="I288" i="323"/>
  <c r="J288" i="323" s="1"/>
  <c r="I287" i="323"/>
  <c r="J287" i="323" s="1"/>
  <c r="I286" i="323"/>
  <c r="J286" i="323" s="1"/>
  <c r="I285" i="323"/>
  <c r="J285" i="323" s="1"/>
  <c r="I283" i="323"/>
  <c r="J283" i="323" s="1"/>
  <c r="I282" i="323"/>
  <c r="J282" i="323" s="1"/>
  <c r="I281" i="323"/>
  <c r="J281" i="323" s="1"/>
  <c r="I280" i="323"/>
  <c r="J280" i="323" s="1"/>
  <c r="I279" i="323"/>
  <c r="J279" i="323" s="1"/>
  <c r="I278" i="323"/>
  <c r="J278" i="323" s="1"/>
  <c r="I277" i="323"/>
  <c r="J277" i="323" s="1"/>
  <c r="I276" i="323"/>
  <c r="J276" i="323" s="1"/>
  <c r="I275" i="323"/>
  <c r="J275" i="323" s="1"/>
  <c r="I274" i="323"/>
  <c r="J274" i="323" s="1"/>
  <c r="I273" i="323"/>
  <c r="J273" i="323" s="1"/>
  <c r="I272" i="323"/>
  <c r="J272" i="323" s="1"/>
  <c r="I271" i="323"/>
  <c r="J271" i="323" s="1"/>
  <c r="I270" i="323"/>
  <c r="J270" i="323" s="1"/>
  <c r="I269" i="323"/>
  <c r="J269" i="323" s="1"/>
  <c r="I268" i="323"/>
  <c r="J268" i="323" s="1"/>
  <c r="I267" i="323"/>
  <c r="J267" i="323" s="1"/>
  <c r="I266" i="323"/>
  <c r="J266" i="323" s="1"/>
  <c r="I265" i="323"/>
  <c r="J265" i="323" s="1"/>
  <c r="I264" i="323"/>
  <c r="J264" i="323" s="1"/>
  <c r="I263" i="323"/>
  <c r="J263" i="323" s="1"/>
  <c r="I261" i="323"/>
  <c r="J261" i="323" s="1"/>
  <c r="I260" i="323"/>
  <c r="J260" i="323" s="1"/>
  <c r="I259" i="323"/>
  <c r="J259" i="323" s="1"/>
  <c r="I258" i="323"/>
  <c r="J258" i="323" s="1"/>
  <c r="I257" i="323"/>
  <c r="J257" i="323" s="1"/>
  <c r="I256" i="323"/>
  <c r="J256" i="323" s="1"/>
  <c r="I255" i="323"/>
  <c r="J255" i="323" s="1"/>
  <c r="I254" i="323"/>
  <c r="J254" i="323" s="1"/>
  <c r="I253" i="323"/>
  <c r="J253" i="323" s="1"/>
  <c r="I252" i="323"/>
  <c r="J252" i="323" s="1"/>
  <c r="I251" i="323"/>
  <c r="J251" i="323" s="1"/>
  <c r="I250" i="323"/>
  <c r="J250" i="323" s="1"/>
  <c r="I249" i="323"/>
  <c r="J249" i="323" s="1"/>
  <c r="I248" i="323"/>
  <c r="J248" i="323" s="1"/>
  <c r="I247" i="323"/>
  <c r="J247" i="323" s="1"/>
  <c r="I246" i="323"/>
  <c r="J246" i="323" s="1"/>
  <c r="I245" i="323"/>
  <c r="J245" i="323" s="1"/>
  <c r="I244" i="323"/>
  <c r="J244" i="323" s="1"/>
  <c r="I243" i="323"/>
  <c r="J243" i="323" s="1"/>
  <c r="I242" i="323"/>
  <c r="J242" i="323" s="1"/>
  <c r="I241" i="323"/>
  <c r="J241" i="323" s="1"/>
  <c r="I239" i="323"/>
  <c r="J239" i="323" s="1"/>
  <c r="I238" i="323"/>
  <c r="J238" i="323" s="1"/>
  <c r="I237" i="323"/>
  <c r="J237" i="323" s="1"/>
  <c r="I236" i="323"/>
  <c r="J236" i="323" s="1"/>
  <c r="I235" i="323"/>
  <c r="J235" i="323" s="1"/>
  <c r="I234" i="323"/>
  <c r="J234" i="323" s="1"/>
  <c r="I233" i="323"/>
  <c r="J233" i="323" s="1"/>
  <c r="I232" i="323"/>
  <c r="J232" i="323" s="1"/>
  <c r="I231" i="323"/>
  <c r="J231" i="323" s="1"/>
  <c r="I230" i="323"/>
  <c r="J230" i="323" s="1"/>
  <c r="I229" i="323"/>
  <c r="J229" i="323" s="1"/>
  <c r="I228" i="323"/>
  <c r="J228" i="323" s="1"/>
  <c r="I227" i="323"/>
  <c r="J227" i="323" s="1"/>
  <c r="I226" i="323"/>
  <c r="J226" i="323" s="1"/>
  <c r="I225" i="323"/>
  <c r="J225" i="323" s="1"/>
  <c r="I224" i="323"/>
  <c r="J224" i="323" s="1"/>
  <c r="I223" i="323"/>
  <c r="J223" i="323" s="1"/>
  <c r="I222" i="323"/>
  <c r="J222" i="323" s="1"/>
  <c r="I221" i="323"/>
  <c r="J221" i="323" s="1"/>
  <c r="I220" i="323"/>
  <c r="J220" i="323" s="1"/>
  <c r="I219" i="323"/>
  <c r="J219" i="323" s="1"/>
  <c r="I217" i="323"/>
  <c r="J217" i="323" s="1"/>
  <c r="I216" i="323"/>
  <c r="J216" i="323" s="1"/>
  <c r="I215" i="323"/>
  <c r="J215" i="323" s="1"/>
  <c r="I214" i="323"/>
  <c r="J214" i="323" s="1"/>
  <c r="I213" i="323"/>
  <c r="J213" i="323" s="1"/>
  <c r="I212" i="323"/>
  <c r="J212" i="323" s="1"/>
  <c r="I211" i="323"/>
  <c r="J211" i="323" s="1"/>
  <c r="I210" i="323"/>
  <c r="J210" i="323" s="1"/>
  <c r="I209" i="323"/>
  <c r="J209" i="323" s="1"/>
  <c r="I208" i="323"/>
  <c r="J208" i="323" s="1"/>
  <c r="I206" i="323"/>
  <c r="J206" i="323" s="1"/>
  <c r="I205" i="323"/>
  <c r="J205" i="323" s="1"/>
  <c r="I204" i="323"/>
  <c r="J204" i="323" s="1"/>
  <c r="I203" i="323"/>
  <c r="J203" i="323" s="1"/>
  <c r="I202" i="323"/>
  <c r="J202" i="323" s="1"/>
  <c r="I201" i="323"/>
  <c r="J201" i="323" s="1"/>
  <c r="I200" i="323"/>
  <c r="J200" i="323" s="1"/>
  <c r="I199" i="323"/>
  <c r="J199" i="323" s="1"/>
  <c r="I198" i="323"/>
  <c r="J198" i="323" s="1"/>
  <c r="I197" i="323"/>
  <c r="J197" i="323" s="1"/>
  <c r="I195" i="323"/>
  <c r="J195" i="323" s="1"/>
  <c r="I194" i="323"/>
  <c r="J194" i="323" s="1"/>
  <c r="I193" i="323"/>
  <c r="J193" i="323" s="1"/>
  <c r="I192" i="323"/>
  <c r="J192" i="323" s="1"/>
  <c r="I191" i="323"/>
  <c r="J191" i="323" s="1"/>
  <c r="I190" i="323"/>
  <c r="J190" i="323" s="1"/>
  <c r="I189" i="323"/>
  <c r="J189" i="323" s="1"/>
  <c r="I188" i="323"/>
  <c r="J188" i="323" s="1"/>
  <c r="I187" i="323"/>
  <c r="J187" i="323" s="1"/>
  <c r="I186" i="323"/>
  <c r="J186" i="323" s="1"/>
  <c r="I184" i="323"/>
  <c r="J184" i="323" s="1"/>
  <c r="I183" i="323"/>
  <c r="J183" i="323" s="1"/>
  <c r="I182" i="323"/>
  <c r="J182" i="323" s="1"/>
  <c r="I181" i="323"/>
  <c r="J181" i="323" s="1"/>
  <c r="I180" i="323"/>
  <c r="J180" i="323" s="1"/>
  <c r="I179" i="323"/>
  <c r="J179" i="323" s="1"/>
  <c r="I178" i="323"/>
  <c r="J178" i="323" s="1"/>
  <c r="I177" i="323"/>
  <c r="J177" i="323" s="1"/>
  <c r="I176" i="323"/>
  <c r="J176" i="323" s="1"/>
  <c r="I175" i="323"/>
  <c r="J175" i="323" s="1"/>
  <c r="I173" i="323"/>
  <c r="J173" i="323" s="1"/>
  <c r="I172" i="323"/>
  <c r="J172" i="323" s="1"/>
  <c r="I170" i="323"/>
  <c r="J170" i="323" s="1"/>
  <c r="I169" i="323"/>
  <c r="J169" i="323" s="1"/>
  <c r="I168" i="323"/>
  <c r="J168" i="323" s="1"/>
  <c r="I167" i="323"/>
  <c r="J167" i="323" s="1"/>
  <c r="I166" i="323"/>
  <c r="J166" i="323" s="1"/>
  <c r="I165" i="323"/>
  <c r="J165" i="323" s="1"/>
  <c r="I164" i="323"/>
  <c r="J164" i="323" s="1"/>
  <c r="I163" i="323"/>
  <c r="J163" i="323" s="1"/>
  <c r="I162" i="323"/>
  <c r="J162" i="323" s="1"/>
  <c r="I161" i="323"/>
  <c r="J161" i="323" s="1"/>
  <c r="I159" i="323"/>
  <c r="J159" i="323" s="1"/>
  <c r="I158" i="323"/>
  <c r="J158" i="323" s="1"/>
  <c r="I157" i="323"/>
  <c r="J157" i="323" s="1"/>
  <c r="I156" i="323"/>
  <c r="J156" i="323" s="1"/>
  <c r="I155" i="323"/>
  <c r="J155" i="323" s="1"/>
  <c r="I154" i="323"/>
  <c r="J154" i="323" s="1"/>
  <c r="I153" i="323"/>
  <c r="J153" i="323" s="1"/>
  <c r="I152" i="323"/>
  <c r="J152" i="323" s="1"/>
  <c r="I151" i="323"/>
  <c r="J151" i="323" s="1"/>
  <c r="I150" i="323"/>
  <c r="J150" i="323" s="1"/>
  <c r="I148" i="323"/>
  <c r="J148" i="323" s="1"/>
  <c r="I147" i="323"/>
  <c r="J147" i="323" s="1"/>
  <c r="I146" i="323"/>
  <c r="J146" i="323" s="1"/>
  <c r="I145" i="323"/>
  <c r="J145" i="323" s="1"/>
  <c r="I144" i="323"/>
  <c r="J144" i="323" s="1"/>
  <c r="I143" i="323"/>
  <c r="J143" i="323" s="1"/>
  <c r="I142" i="323"/>
  <c r="J142" i="323" s="1"/>
  <c r="I141" i="323"/>
  <c r="J141" i="323" s="1"/>
  <c r="I140" i="323"/>
  <c r="J140" i="323" s="1"/>
  <c r="I139" i="323"/>
  <c r="J139" i="323" s="1"/>
  <c r="I138" i="323"/>
  <c r="J138" i="323" s="1"/>
  <c r="I137" i="323"/>
  <c r="J137" i="323" s="1"/>
  <c r="I136" i="323"/>
  <c r="J136" i="323" s="1"/>
  <c r="I135" i="323"/>
  <c r="J135" i="323" s="1"/>
  <c r="I134" i="323"/>
  <c r="J134" i="323" s="1"/>
  <c r="I133" i="323"/>
  <c r="J133" i="323" s="1"/>
  <c r="I132" i="323"/>
  <c r="J132" i="323" s="1"/>
  <c r="I131" i="323"/>
  <c r="J131" i="323" s="1"/>
  <c r="I130" i="323"/>
  <c r="J130" i="323" s="1"/>
  <c r="I129" i="323"/>
  <c r="J129" i="323" s="1"/>
  <c r="I128" i="323"/>
  <c r="J128" i="323" s="1"/>
  <c r="I126" i="323"/>
  <c r="J126" i="323" s="1"/>
  <c r="I125" i="323"/>
  <c r="J125" i="323" s="1"/>
  <c r="I124" i="323"/>
  <c r="J124" i="323" s="1"/>
  <c r="I123" i="323"/>
  <c r="J123" i="323" s="1"/>
  <c r="I122" i="323"/>
  <c r="J122" i="323" s="1"/>
  <c r="I121" i="323"/>
  <c r="J121" i="323" s="1"/>
  <c r="I120" i="323"/>
  <c r="J120" i="323" s="1"/>
  <c r="I119" i="323"/>
  <c r="J119" i="323" s="1"/>
  <c r="I118" i="323"/>
  <c r="J118" i="323" s="1"/>
  <c r="I117" i="323"/>
  <c r="J117" i="323" s="1"/>
  <c r="I115" i="323"/>
  <c r="J115" i="323" s="1"/>
  <c r="I114" i="323"/>
  <c r="J114" i="323" s="1"/>
  <c r="I113" i="323"/>
  <c r="J113" i="323" s="1"/>
  <c r="I112" i="323"/>
  <c r="J112" i="323" s="1"/>
  <c r="I111" i="323"/>
  <c r="J111" i="323" s="1"/>
  <c r="I110" i="323"/>
  <c r="J110" i="323" s="1"/>
  <c r="I109" i="323"/>
  <c r="J109" i="323" s="1"/>
  <c r="I108" i="323"/>
  <c r="J108" i="323" s="1"/>
  <c r="I107" i="323"/>
  <c r="J107" i="323" s="1"/>
  <c r="I106" i="323"/>
  <c r="J106" i="323" s="1"/>
  <c r="I104" i="323"/>
  <c r="J104" i="323" s="1"/>
  <c r="I103" i="323"/>
  <c r="J103" i="323" s="1"/>
  <c r="I102" i="323"/>
  <c r="J102" i="323" s="1"/>
  <c r="I101" i="323"/>
  <c r="J101" i="323" s="1"/>
  <c r="I100" i="323"/>
  <c r="J100" i="323" s="1"/>
  <c r="I99" i="323"/>
  <c r="J99" i="323" s="1"/>
  <c r="I98" i="323"/>
  <c r="J98" i="323" s="1"/>
  <c r="I97" i="323"/>
  <c r="J97" i="323" s="1"/>
  <c r="I96" i="323"/>
  <c r="J96" i="323" s="1"/>
  <c r="I95" i="323"/>
  <c r="J95" i="323" s="1"/>
  <c r="I93" i="323"/>
  <c r="J93" i="323" s="1"/>
  <c r="I92" i="323"/>
  <c r="J92" i="323" s="1"/>
  <c r="I91" i="323"/>
  <c r="J91" i="323" s="1"/>
  <c r="I90" i="323"/>
  <c r="J90" i="323" s="1"/>
  <c r="I89" i="323"/>
  <c r="J89" i="323" s="1"/>
  <c r="I88" i="323"/>
  <c r="J88" i="323" s="1"/>
  <c r="I87" i="323"/>
  <c r="J87" i="323" s="1"/>
  <c r="I86" i="323"/>
  <c r="J86" i="323" s="1"/>
  <c r="I85" i="323"/>
  <c r="J85" i="323" s="1"/>
  <c r="I84" i="323"/>
  <c r="J84" i="323" s="1"/>
  <c r="I82" i="323"/>
  <c r="J82" i="323" s="1"/>
  <c r="I81" i="323"/>
  <c r="J81" i="323" s="1"/>
  <c r="I80" i="323"/>
  <c r="J80" i="323" s="1"/>
  <c r="I79" i="323"/>
  <c r="J79" i="323" s="1"/>
  <c r="I78" i="323"/>
  <c r="J78" i="323" s="1"/>
  <c r="I77" i="323"/>
  <c r="J77" i="323" s="1"/>
  <c r="I76" i="323"/>
  <c r="J76" i="323" s="1"/>
  <c r="I75" i="323"/>
  <c r="J75" i="323" s="1"/>
  <c r="I74" i="323"/>
  <c r="J74" i="323" s="1"/>
  <c r="I73" i="323"/>
  <c r="J73" i="323" s="1"/>
  <c r="I71" i="323"/>
  <c r="J71" i="323" s="1"/>
  <c r="I70" i="323"/>
  <c r="J70" i="323" s="1"/>
  <c r="I69" i="323"/>
  <c r="J69" i="323" s="1"/>
  <c r="I68" i="323"/>
  <c r="J68" i="323" s="1"/>
  <c r="I67" i="323"/>
  <c r="J67" i="323" s="1"/>
  <c r="I66" i="323"/>
  <c r="J66" i="323" s="1"/>
  <c r="I65" i="323"/>
  <c r="J65" i="323" s="1"/>
  <c r="I64" i="323"/>
  <c r="J64" i="323" s="1"/>
  <c r="I63" i="323"/>
  <c r="J63" i="323" s="1"/>
  <c r="I62" i="323"/>
  <c r="J62" i="323" s="1"/>
  <c r="I60" i="323"/>
  <c r="J60" i="323" s="1"/>
  <c r="I59" i="323"/>
  <c r="J59" i="323" s="1"/>
  <c r="I58" i="323"/>
  <c r="J58" i="323" s="1"/>
  <c r="I57" i="323"/>
  <c r="J57" i="323" s="1"/>
  <c r="I56" i="323"/>
  <c r="J56" i="323" s="1"/>
  <c r="I55" i="323"/>
  <c r="J55" i="323" s="1"/>
  <c r="I54" i="323"/>
  <c r="J54" i="323" s="1"/>
  <c r="I53" i="323"/>
  <c r="J53" i="323" s="1"/>
  <c r="I52" i="323"/>
  <c r="J52" i="323" s="1"/>
  <c r="I51" i="323"/>
  <c r="J51" i="323" s="1"/>
  <c r="I49" i="323"/>
  <c r="J49" i="323" s="1"/>
  <c r="I48" i="323"/>
  <c r="J48" i="323" s="1"/>
  <c r="I47" i="323"/>
  <c r="J47" i="323" s="1"/>
  <c r="I46" i="323"/>
  <c r="J46" i="323" s="1"/>
  <c r="I45" i="323"/>
  <c r="J45" i="323" s="1"/>
  <c r="I44" i="323"/>
  <c r="J44" i="323" s="1"/>
  <c r="I43" i="323"/>
  <c r="J43" i="323" s="1"/>
  <c r="I42" i="323"/>
  <c r="J42" i="323" s="1"/>
  <c r="I41" i="323"/>
  <c r="J41" i="323" s="1"/>
  <c r="I40" i="323"/>
  <c r="J40" i="323" s="1"/>
  <c r="I38" i="323"/>
  <c r="J38" i="323" s="1"/>
  <c r="I37" i="323"/>
  <c r="J37" i="323" s="1"/>
  <c r="I36" i="323"/>
  <c r="J36" i="323" s="1"/>
  <c r="I35" i="323"/>
  <c r="J35" i="323" s="1"/>
  <c r="I34" i="323"/>
  <c r="J34" i="323" s="1"/>
  <c r="I33" i="323"/>
  <c r="J33" i="323" s="1"/>
  <c r="I32" i="323"/>
  <c r="J32" i="323" s="1"/>
  <c r="I31" i="323"/>
  <c r="J31" i="323" s="1"/>
  <c r="I30" i="323"/>
  <c r="J30" i="323" s="1"/>
  <c r="I29" i="323"/>
  <c r="J29" i="323" s="1"/>
  <c r="I27" i="323"/>
  <c r="J27" i="323" s="1"/>
  <c r="I26" i="323"/>
  <c r="J26" i="323" s="1"/>
  <c r="I25" i="323"/>
  <c r="J25" i="323" s="1"/>
  <c r="I24" i="323"/>
  <c r="J24" i="323" s="1"/>
  <c r="I23" i="323"/>
  <c r="J23" i="323" s="1"/>
  <c r="I22" i="323"/>
  <c r="J22" i="323" s="1"/>
  <c r="I21" i="323"/>
  <c r="J21" i="323" s="1"/>
  <c r="I20" i="323"/>
  <c r="J20" i="323" s="1"/>
  <c r="I19" i="323"/>
  <c r="J19" i="323" s="1"/>
  <c r="I18" i="323"/>
  <c r="J18" i="323" s="1"/>
  <c r="I16" i="323"/>
  <c r="J16" i="323" s="1"/>
  <c r="I15" i="323"/>
  <c r="J15" i="323" s="1"/>
  <c r="I14" i="323"/>
  <c r="J14" i="323" s="1"/>
  <c r="I13" i="323"/>
  <c r="J13" i="323" s="1"/>
  <c r="I12" i="323"/>
  <c r="J12" i="323" s="1"/>
  <c r="I11" i="323"/>
  <c r="J11" i="323" s="1"/>
  <c r="I10" i="323"/>
  <c r="J10" i="323" s="1"/>
  <c r="I9" i="323"/>
  <c r="J9" i="323" s="1"/>
  <c r="I8" i="323"/>
  <c r="J8" i="323" s="1"/>
  <c r="I7" i="323"/>
  <c r="J7" i="323" s="1"/>
  <c r="K3" i="323"/>
  <c r="J3" i="323"/>
  <c r="I3" i="323"/>
  <c r="H3" i="323"/>
  <c r="G3" i="323"/>
  <c r="F3" i="323"/>
  <c r="E3" i="323"/>
  <c r="D3" i="323"/>
  <c r="C3" i="323"/>
  <c r="A342" i="323"/>
  <c r="W170" i="323"/>
  <c r="W338" i="323"/>
  <c r="V170" i="323"/>
  <c r="V338" i="323"/>
  <c r="U170" i="323"/>
  <c r="U338" i="323"/>
  <c r="T170" i="323"/>
  <c r="T338" i="323"/>
  <c r="T340" i="323" s="1"/>
  <c r="S170" i="323"/>
  <c r="S338" i="323"/>
  <c r="R170" i="323"/>
  <c r="R338" i="323"/>
  <c r="Q170" i="323"/>
  <c r="Q338" i="323"/>
  <c r="P170" i="323"/>
  <c r="P338" i="323"/>
  <c r="O170" i="323"/>
  <c r="O338" i="323"/>
  <c r="N170" i="323"/>
  <c r="N338" i="323"/>
  <c r="M170" i="323"/>
  <c r="M338" i="323"/>
  <c r="L170" i="323"/>
  <c r="L338" i="323"/>
  <c r="L340" i="323" s="1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 s="1"/>
  <c r="K9" i="272"/>
  <c r="K13" i="272"/>
  <c r="G11" i="272"/>
  <c r="G12" i="272"/>
  <c r="H14" i="272"/>
  <c r="F6" i="272"/>
  <c r="F14" i="272"/>
  <c r="E7" i="272"/>
  <c r="D8" i="272"/>
  <c r="D12" i="272"/>
  <c r="G25" i="272"/>
  <c r="G26" i="272"/>
  <c r="G27" i="272"/>
  <c r="G28" i="272"/>
  <c r="G29" i="272"/>
  <c r="H29" i="272"/>
  <c r="G30" i="272"/>
  <c r="G31" i="272"/>
  <c r="H31" i="272"/>
  <c r="H32" i="272"/>
  <c r="K24" i="272"/>
  <c r="K25" i="272"/>
  <c r="K26" i="272"/>
  <c r="K27" i="272"/>
  <c r="K28" i="272"/>
  <c r="K29" i="272"/>
  <c r="K30" i="272"/>
  <c r="K31" i="272"/>
  <c r="K32" i="272"/>
  <c r="F24" i="272"/>
  <c r="F29" i="272"/>
  <c r="F31" i="272"/>
  <c r="F32" i="272"/>
  <c r="E24" i="272"/>
  <c r="E25" i="272"/>
  <c r="E26" i="272"/>
  <c r="E29" i="272"/>
  <c r="E30" i="272"/>
  <c r="E31" i="272"/>
  <c r="D24" i="272"/>
  <c r="D25" i="272"/>
  <c r="D27" i="272"/>
  <c r="D28" i="272"/>
  <c r="D29" i="272"/>
  <c r="D31" i="272"/>
  <c r="D32" i="272"/>
  <c r="C31" i="272"/>
  <c r="C30" i="272"/>
  <c r="C29" i="272"/>
  <c r="C27" i="272"/>
  <c r="C26" i="272"/>
  <c r="C25" i="272"/>
  <c r="C12" i="272"/>
  <c r="C8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 s="1"/>
  <c r="K45" i="182" s="1"/>
  <c r="K47" i="182" s="1"/>
  <c r="K49" i="182" s="1"/>
  <c r="E80" i="100"/>
  <c r="K54" i="182"/>
  <c r="A54" i="182"/>
  <c r="I44" i="182"/>
  <c r="J44" i="182" s="1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I13" i="182"/>
  <c r="J13" i="182" s="1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V171" i="324"/>
  <c r="V340" i="324"/>
  <c r="U171" i="324"/>
  <c r="U340" i="324"/>
  <c r="T171" i="324"/>
  <c r="T340" i="324"/>
  <c r="S171" i="324"/>
  <c r="S340" i="324"/>
  <c r="R171" i="324"/>
  <c r="R340" i="324"/>
  <c r="Q171" i="324"/>
  <c r="Q342" i="324" s="1"/>
  <c r="Q340" i="324"/>
  <c r="P171" i="324"/>
  <c r="P340" i="324"/>
  <c r="O171" i="324"/>
  <c r="O340" i="324"/>
  <c r="N171" i="324"/>
  <c r="N340" i="324"/>
  <c r="M171" i="324"/>
  <c r="M342" i="324" s="1"/>
  <c r="M340" i="324"/>
  <c r="L171" i="324"/>
  <c r="L340" i="324"/>
  <c r="I342" i="324"/>
  <c r="J342" i="324" s="1"/>
  <c r="I340" i="324"/>
  <c r="J340" i="324" s="1"/>
  <c r="I339" i="324"/>
  <c r="J339" i="324" s="1"/>
  <c r="I338" i="324"/>
  <c r="J338" i="324" s="1"/>
  <c r="I337" i="324"/>
  <c r="J337" i="324" s="1"/>
  <c r="I336" i="324"/>
  <c r="J336" i="324" s="1"/>
  <c r="I335" i="324"/>
  <c r="J335" i="324" s="1"/>
  <c r="I334" i="324"/>
  <c r="J334" i="324" s="1"/>
  <c r="I333" i="324"/>
  <c r="J333" i="324" s="1"/>
  <c r="I332" i="324"/>
  <c r="J332" i="324" s="1"/>
  <c r="I331" i="324"/>
  <c r="J331" i="324" s="1"/>
  <c r="I329" i="324"/>
  <c r="J329" i="324" s="1"/>
  <c r="I328" i="324"/>
  <c r="J328" i="324" s="1"/>
  <c r="I327" i="324"/>
  <c r="J327" i="324" s="1"/>
  <c r="I326" i="324"/>
  <c r="J326" i="324" s="1"/>
  <c r="I325" i="324"/>
  <c r="J325" i="324" s="1"/>
  <c r="I324" i="324"/>
  <c r="J324" i="324" s="1"/>
  <c r="I323" i="324"/>
  <c r="J323" i="324" s="1"/>
  <c r="I322" i="324"/>
  <c r="J322" i="324" s="1"/>
  <c r="I321" i="324"/>
  <c r="J321" i="324" s="1"/>
  <c r="I320" i="324"/>
  <c r="J320" i="324" s="1"/>
  <c r="I318" i="324"/>
  <c r="J318" i="324" s="1"/>
  <c r="I317" i="324"/>
  <c r="J317" i="324" s="1"/>
  <c r="I316" i="324"/>
  <c r="J316" i="324" s="1"/>
  <c r="I315" i="324"/>
  <c r="J315" i="324" s="1"/>
  <c r="I314" i="324"/>
  <c r="J314" i="324" s="1"/>
  <c r="I313" i="324"/>
  <c r="J313" i="324" s="1"/>
  <c r="I312" i="324"/>
  <c r="J312" i="324" s="1"/>
  <c r="I311" i="324"/>
  <c r="J311" i="324" s="1"/>
  <c r="I310" i="324"/>
  <c r="J310" i="324" s="1"/>
  <c r="I309" i="324"/>
  <c r="J309" i="324" s="1"/>
  <c r="I307" i="324"/>
  <c r="J307" i="324" s="1"/>
  <c r="I306" i="324"/>
  <c r="J306" i="324" s="1"/>
  <c r="I305" i="324"/>
  <c r="J305" i="324" s="1"/>
  <c r="I304" i="324"/>
  <c r="J304" i="324" s="1"/>
  <c r="I303" i="324"/>
  <c r="J303" i="324" s="1"/>
  <c r="I302" i="324"/>
  <c r="J302" i="324" s="1"/>
  <c r="I301" i="324"/>
  <c r="J301" i="324" s="1"/>
  <c r="I300" i="324"/>
  <c r="J300" i="324" s="1"/>
  <c r="I299" i="324"/>
  <c r="J299" i="324" s="1"/>
  <c r="I298" i="324"/>
  <c r="J298" i="324" s="1"/>
  <c r="I296" i="324"/>
  <c r="J296" i="324" s="1"/>
  <c r="I295" i="324"/>
  <c r="J295" i="324" s="1"/>
  <c r="I294" i="324"/>
  <c r="J294" i="324" s="1"/>
  <c r="I293" i="324"/>
  <c r="J293" i="324" s="1"/>
  <c r="I292" i="324"/>
  <c r="J292" i="324" s="1"/>
  <c r="I291" i="324"/>
  <c r="J291" i="324" s="1"/>
  <c r="I290" i="324"/>
  <c r="J290" i="324" s="1"/>
  <c r="I289" i="324"/>
  <c r="J289" i="324" s="1"/>
  <c r="I288" i="324"/>
  <c r="J288" i="324" s="1"/>
  <c r="I287" i="324"/>
  <c r="J287" i="324" s="1"/>
  <c r="I285" i="324"/>
  <c r="J285" i="324" s="1"/>
  <c r="I284" i="324"/>
  <c r="J284" i="324" s="1"/>
  <c r="I283" i="324"/>
  <c r="J283" i="324" s="1"/>
  <c r="I282" i="324"/>
  <c r="J282" i="324" s="1"/>
  <c r="I281" i="324"/>
  <c r="J281" i="324" s="1"/>
  <c r="I280" i="324"/>
  <c r="J280" i="324" s="1"/>
  <c r="I279" i="324"/>
  <c r="J279" i="324" s="1"/>
  <c r="I278" i="324"/>
  <c r="J278" i="324" s="1"/>
  <c r="I277" i="324"/>
  <c r="J277" i="324" s="1"/>
  <c r="I276" i="324"/>
  <c r="J276" i="324" s="1"/>
  <c r="I274" i="324"/>
  <c r="J274" i="324" s="1"/>
  <c r="I273" i="324"/>
  <c r="J273" i="324" s="1"/>
  <c r="I272" i="324"/>
  <c r="J272" i="324" s="1"/>
  <c r="I271" i="324"/>
  <c r="J271" i="324" s="1"/>
  <c r="I270" i="324"/>
  <c r="J270" i="324" s="1"/>
  <c r="I269" i="324"/>
  <c r="J269" i="324" s="1"/>
  <c r="I268" i="324"/>
  <c r="J268" i="324" s="1"/>
  <c r="I267" i="324"/>
  <c r="J267" i="324" s="1"/>
  <c r="I266" i="324"/>
  <c r="J266" i="324" s="1"/>
  <c r="I265" i="324"/>
  <c r="J265" i="324" s="1"/>
  <c r="I263" i="324"/>
  <c r="J263" i="324" s="1"/>
  <c r="I262" i="324"/>
  <c r="J262" i="324" s="1"/>
  <c r="I261" i="324"/>
  <c r="J261" i="324" s="1"/>
  <c r="I260" i="324"/>
  <c r="J260" i="324" s="1"/>
  <c r="I259" i="324"/>
  <c r="J259" i="324" s="1"/>
  <c r="I258" i="324"/>
  <c r="J258" i="324" s="1"/>
  <c r="I257" i="324"/>
  <c r="J257" i="324" s="1"/>
  <c r="I256" i="324"/>
  <c r="J256" i="324" s="1"/>
  <c r="I255" i="324"/>
  <c r="J255" i="324" s="1"/>
  <c r="I254" i="324"/>
  <c r="J254" i="324" s="1"/>
  <c r="I252" i="324"/>
  <c r="J252" i="324" s="1"/>
  <c r="I251" i="324"/>
  <c r="J251" i="324" s="1"/>
  <c r="I250" i="324"/>
  <c r="J250" i="324" s="1"/>
  <c r="I249" i="324"/>
  <c r="J249" i="324" s="1"/>
  <c r="I248" i="324"/>
  <c r="J248" i="324" s="1"/>
  <c r="I247" i="324"/>
  <c r="J247" i="324" s="1"/>
  <c r="I246" i="324"/>
  <c r="J246" i="324" s="1"/>
  <c r="I245" i="324"/>
  <c r="J245" i="324" s="1"/>
  <c r="I244" i="324"/>
  <c r="J244" i="324" s="1"/>
  <c r="I243" i="324"/>
  <c r="J243" i="324" s="1"/>
  <c r="I241" i="324"/>
  <c r="J241" i="324" s="1"/>
  <c r="I240" i="324"/>
  <c r="J240" i="324" s="1"/>
  <c r="I239" i="324"/>
  <c r="J239" i="324" s="1"/>
  <c r="I238" i="324"/>
  <c r="J238" i="324" s="1"/>
  <c r="I237" i="324"/>
  <c r="J237" i="324" s="1"/>
  <c r="I236" i="324"/>
  <c r="J236" i="324" s="1"/>
  <c r="I235" i="324"/>
  <c r="J235" i="324" s="1"/>
  <c r="I234" i="324"/>
  <c r="J234" i="324" s="1"/>
  <c r="I233" i="324"/>
  <c r="J233" i="324" s="1"/>
  <c r="I232" i="324"/>
  <c r="J232" i="324" s="1"/>
  <c r="I230" i="324"/>
  <c r="J230" i="324" s="1"/>
  <c r="I229" i="324"/>
  <c r="J229" i="324" s="1"/>
  <c r="I228" i="324"/>
  <c r="J228" i="324" s="1"/>
  <c r="I227" i="324"/>
  <c r="J227" i="324" s="1"/>
  <c r="I226" i="324"/>
  <c r="J226" i="324" s="1"/>
  <c r="I225" i="324"/>
  <c r="J225" i="324" s="1"/>
  <c r="I224" i="324"/>
  <c r="J224" i="324" s="1"/>
  <c r="I223" i="324"/>
  <c r="J223" i="324" s="1"/>
  <c r="I222" i="324"/>
  <c r="J222" i="324" s="1"/>
  <c r="I221" i="324"/>
  <c r="J221" i="324" s="1"/>
  <c r="I219" i="324"/>
  <c r="J219" i="324" s="1"/>
  <c r="I218" i="324"/>
  <c r="J218" i="324" s="1"/>
  <c r="I217" i="324"/>
  <c r="J217" i="324" s="1"/>
  <c r="I216" i="324"/>
  <c r="J216" i="324" s="1"/>
  <c r="I215" i="324"/>
  <c r="J215" i="324" s="1"/>
  <c r="I214" i="324"/>
  <c r="J214" i="324" s="1"/>
  <c r="I212" i="324"/>
  <c r="J212" i="324" s="1"/>
  <c r="I211" i="324"/>
  <c r="J211" i="324" s="1"/>
  <c r="I210" i="324"/>
  <c r="J210" i="324" s="1"/>
  <c r="I208" i="324"/>
  <c r="J208" i="324" s="1"/>
  <c r="I207" i="324"/>
  <c r="J207" i="324" s="1"/>
  <c r="I206" i="324"/>
  <c r="J206" i="324" s="1"/>
  <c r="I205" i="324"/>
  <c r="J205" i="324" s="1"/>
  <c r="I204" i="324"/>
  <c r="J204" i="324" s="1"/>
  <c r="I203" i="324"/>
  <c r="J203" i="324" s="1"/>
  <c r="I202" i="324"/>
  <c r="J202" i="324" s="1"/>
  <c r="I201" i="324"/>
  <c r="J201" i="324" s="1"/>
  <c r="I200" i="324"/>
  <c r="J200" i="324" s="1"/>
  <c r="I199" i="324"/>
  <c r="J199" i="324" s="1"/>
  <c r="I197" i="324"/>
  <c r="J197" i="324" s="1"/>
  <c r="I196" i="324"/>
  <c r="J196" i="324" s="1"/>
  <c r="I195" i="324"/>
  <c r="J195" i="324" s="1"/>
  <c r="I194" i="324"/>
  <c r="J194" i="324" s="1"/>
  <c r="I193" i="324"/>
  <c r="J193" i="324" s="1"/>
  <c r="I192" i="324"/>
  <c r="J192" i="324" s="1"/>
  <c r="I191" i="324"/>
  <c r="J191" i="324" s="1"/>
  <c r="I190" i="324"/>
  <c r="J190" i="324" s="1"/>
  <c r="I189" i="324"/>
  <c r="J189" i="324" s="1"/>
  <c r="I188" i="324"/>
  <c r="J188" i="324" s="1"/>
  <c r="I186" i="324"/>
  <c r="J186" i="324" s="1"/>
  <c r="I185" i="324"/>
  <c r="J185" i="324" s="1"/>
  <c r="I184" i="324"/>
  <c r="J184" i="324" s="1"/>
  <c r="I183" i="324"/>
  <c r="J183" i="324" s="1"/>
  <c r="I182" i="324"/>
  <c r="J182" i="324" s="1"/>
  <c r="I181" i="324"/>
  <c r="J181" i="324" s="1"/>
  <c r="I180" i="324"/>
  <c r="J180" i="324" s="1"/>
  <c r="I179" i="324"/>
  <c r="J179" i="324" s="1"/>
  <c r="I178" i="324"/>
  <c r="J178" i="324" s="1"/>
  <c r="I177" i="324"/>
  <c r="J177" i="324" s="1"/>
  <c r="I175" i="324"/>
  <c r="J175" i="324" s="1"/>
  <c r="I173" i="324"/>
  <c r="J173" i="324" s="1"/>
  <c r="I171" i="324"/>
  <c r="J171" i="324" s="1"/>
  <c r="I170" i="324"/>
  <c r="J170" i="324" s="1"/>
  <c r="I169" i="324"/>
  <c r="J169" i="324" s="1"/>
  <c r="I168" i="324"/>
  <c r="J168" i="324" s="1"/>
  <c r="I167" i="324"/>
  <c r="J167" i="324" s="1"/>
  <c r="I166" i="324"/>
  <c r="J166" i="324" s="1"/>
  <c r="I165" i="324"/>
  <c r="J165" i="324" s="1"/>
  <c r="I164" i="324"/>
  <c r="J164" i="324" s="1"/>
  <c r="I163" i="324"/>
  <c r="J163" i="324" s="1"/>
  <c r="I162" i="324"/>
  <c r="J162" i="324" s="1"/>
  <c r="I161" i="324"/>
  <c r="J161" i="324" s="1"/>
  <c r="I160" i="324"/>
  <c r="J160" i="324" s="1"/>
  <c r="I159" i="324"/>
  <c r="J159" i="324" s="1"/>
  <c r="I158" i="324"/>
  <c r="J158" i="324" s="1"/>
  <c r="I157" i="324"/>
  <c r="J157" i="324" s="1"/>
  <c r="I156" i="324"/>
  <c r="J156" i="324" s="1"/>
  <c r="I155" i="324"/>
  <c r="J155" i="324" s="1"/>
  <c r="I154" i="324"/>
  <c r="J154" i="324" s="1"/>
  <c r="I153" i="324"/>
  <c r="J153" i="324" s="1"/>
  <c r="I152" i="324"/>
  <c r="J152" i="324" s="1"/>
  <c r="I151" i="324"/>
  <c r="J151" i="324" s="1"/>
  <c r="I150" i="324"/>
  <c r="J150" i="324" s="1"/>
  <c r="I149" i="324"/>
  <c r="J149" i="324" s="1"/>
  <c r="I148" i="324"/>
  <c r="J148" i="324" s="1"/>
  <c r="I147" i="324"/>
  <c r="J147" i="324" s="1"/>
  <c r="I146" i="324"/>
  <c r="J146" i="324" s="1"/>
  <c r="I145" i="324"/>
  <c r="J145" i="324" s="1"/>
  <c r="I144" i="324"/>
  <c r="J144" i="324" s="1"/>
  <c r="I143" i="324"/>
  <c r="J143" i="324" s="1"/>
  <c r="I142" i="324"/>
  <c r="J142" i="324" s="1"/>
  <c r="I141" i="324"/>
  <c r="J141" i="324" s="1"/>
  <c r="I140" i="324"/>
  <c r="J140" i="324" s="1"/>
  <c r="I138" i="324"/>
  <c r="J138" i="324" s="1"/>
  <c r="I137" i="324"/>
  <c r="J137" i="324" s="1"/>
  <c r="I136" i="324"/>
  <c r="J136" i="324" s="1"/>
  <c r="I135" i="324"/>
  <c r="J135" i="324" s="1"/>
  <c r="I134" i="324"/>
  <c r="J134" i="324" s="1"/>
  <c r="I133" i="324"/>
  <c r="J133" i="324" s="1"/>
  <c r="I132" i="324"/>
  <c r="J132" i="324" s="1"/>
  <c r="I131" i="324"/>
  <c r="J131" i="324" s="1"/>
  <c r="I130" i="324"/>
  <c r="J130" i="324" s="1"/>
  <c r="I129" i="324"/>
  <c r="J129" i="324" s="1"/>
  <c r="I127" i="324"/>
  <c r="J127" i="324" s="1"/>
  <c r="I126" i="324"/>
  <c r="J126" i="324" s="1"/>
  <c r="I125" i="324"/>
  <c r="J125" i="324" s="1"/>
  <c r="I124" i="324"/>
  <c r="J124" i="324" s="1"/>
  <c r="I123" i="324"/>
  <c r="J123" i="324" s="1"/>
  <c r="I122" i="324"/>
  <c r="J122" i="324" s="1"/>
  <c r="I121" i="324"/>
  <c r="J121" i="324" s="1"/>
  <c r="I120" i="324"/>
  <c r="J120" i="324" s="1"/>
  <c r="I119" i="324"/>
  <c r="J119" i="324" s="1"/>
  <c r="I118" i="324"/>
  <c r="J118" i="324" s="1"/>
  <c r="I117" i="324"/>
  <c r="J117" i="324" s="1"/>
  <c r="I116" i="324"/>
  <c r="J116" i="324" s="1"/>
  <c r="I115" i="324"/>
  <c r="J115" i="324" s="1"/>
  <c r="I114" i="324"/>
  <c r="J114" i="324" s="1"/>
  <c r="I113" i="324"/>
  <c r="J113" i="324" s="1"/>
  <c r="I112" i="324"/>
  <c r="J112" i="324" s="1"/>
  <c r="I111" i="324"/>
  <c r="J111" i="324" s="1"/>
  <c r="I110" i="324"/>
  <c r="J110" i="324" s="1"/>
  <c r="I109" i="324"/>
  <c r="J109" i="324" s="1"/>
  <c r="I108" i="324"/>
  <c r="J108" i="324" s="1"/>
  <c r="I107" i="324"/>
  <c r="J107" i="324" s="1"/>
  <c r="I106" i="324"/>
  <c r="J106" i="324" s="1"/>
  <c r="I105" i="324"/>
  <c r="J105" i="324" s="1"/>
  <c r="I104" i="324"/>
  <c r="J104" i="324" s="1"/>
  <c r="I103" i="324"/>
  <c r="J103" i="324" s="1"/>
  <c r="I102" i="324"/>
  <c r="J102" i="324" s="1"/>
  <c r="I101" i="324"/>
  <c r="J101" i="324" s="1"/>
  <c r="I100" i="324"/>
  <c r="J100" i="324" s="1"/>
  <c r="I99" i="324"/>
  <c r="J99" i="324" s="1"/>
  <c r="I98" i="324"/>
  <c r="J98" i="324" s="1"/>
  <c r="I97" i="324"/>
  <c r="J97" i="324" s="1"/>
  <c r="I96" i="324"/>
  <c r="J96" i="324" s="1"/>
  <c r="I94" i="324"/>
  <c r="J94" i="324" s="1"/>
  <c r="I93" i="324"/>
  <c r="J93" i="324" s="1"/>
  <c r="I92" i="324"/>
  <c r="J92" i="324" s="1"/>
  <c r="I91" i="324"/>
  <c r="J91" i="324" s="1"/>
  <c r="I90" i="324"/>
  <c r="J90" i="324" s="1"/>
  <c r="I89" i="324"/>
  <c r="J89" i="324" s="1"/>
  <c r="I88" i="324"/>
  <c r="J88" i="324" s="1"/>
  <c r="I87" i="324"/>
  <c r="J87" i="324" s="1"/>
  <c r="I86" i="324"/>
  <c r="J86" i="324" s="1"/>
  <c r="I85" i="324"/>
  <c r="J85" i="324" s="1"/>
  <c r="I83" i="324"/>
  <c r="J83" i="324" s="1"/>
  <c r="I82" i="324"/>
  <c r="J82" i="324" s="1"/>
  <c r="I81" i="324"/>
  <c r="J81" i="324" s="1"/>
  <c r="I80" i="324"/>
  <c r="J80" i="324" s="1"/>
  <c r="I79" i="324"/>
  <c r="J79" i="324" s="1"/>
  <c r="I78" i="324"/>
  <c r="J78" i="324" s="1"/>
  <c r="I77" i="324"/>
  <c r="J77" i="324" s="1"/>
  <c r="I76" i="324"/>
  <c r="J76" i="324" s="1"/>
  <c r="I75" i="324"/>
  <c r="J75" i="324" s="1"/>
  <c r="I74" i="324"/>
  <c r="J74" i="324" s="1"/>
  <c r="I73" i="324"/>
  <c r="J73" i="324" s="1"/>
  <c r="I72" i="324"/>
  <c r="J72" i="324" s="1"/>
  <c r="I71" i="324"/>
  <c r="J71" i="324" s="1"/>
  <c r="I70" i="324"/>
  <c r="J70" i="324" s="1"/>
  <c r="I69" i="324"/>
  <c r="J69" i="324" s="1"/>
  <c r="I68" i="324"/>
  <c r="J68" i="324" s="1"/>
  <c r="I67" i="324"/>
  <c r="J67" i="324" s="1"/>
  <c r="I66" i="324"/>
  <c r="J66" i="324" s="1"/>
  <c r="I65" i="324"/>
  <c r="J65" i="324" s="1"/>
  <c r="I64" i="324"/>
  <c r="J64" i="324" s="1"/>
  <c r="I63" i="324"/>
  <c r="J63" i="324" s="1"/>
  <c r="I62" i="324"/>
  <c r="J62" i="324" s="1"/>
  <c r="I61" i="324"/>
  <c r="J61" i="324" s="1"/>
  <c r="I60" i="324"/>
  <c r="J60" i="324" s="1"/>
  <c r="I59" i="324"/>
  <c r="J59" i="324" s="1"/>
  <c r="I58" i="324"/>
  <c r="J58" i="324" s="1"/>
  <c r="I57" i="324"/>
  <c r="J57" i="324" s="1"/>
  <c r="I56" i="324"/>
  <c r="J56" i="324" s="1"/>
  <c r="I55" i="324"/>
  <c r="J55" i="324" s="1"/>
  <c r="I54" i="324"/>
  <c r="J54" i="324" s="1"/>
  <c r="I53" i="324"/>
  <c r="J53" i="324" s="1"/>
  <c r="I52" i="324"/>
  <c r="J52" i="324" s="1"/>
  <c r="I50" i="324"/>
  <c r="J50" i="324" s="1"/>
  <c r="I49" i="324"/>
  <c r="J49" i="324" s="1"/>
  <c r="I48" i="324"/>
  <c r="J48" i="324" s="1"/>
  <c r="I47" i="324"/>
  <c r="J47" i="324" s="1"/>
  <c r="I46" i="324"/>
  <c r="J46" i="324" s="1"/>
  <c r="I45" i="324"/>
  <c r="J45" i="324" s="1"/>
  <c r="I44" i="324"/>
  <c r="J44" i="324" s="1"/>
  <c r="I43" i="324"/>
  <c r="J43" i="324" s="1"/>
  <c r="I42" i="324"/>
  <c r="J42" i="324" s="1"/>
  <c r="I41" i="324"/>
  <c r="J41" i="324" s="1"/>
  <c r="I39" i="324"/>
  <c r="J39" i="324" s="1"/>
  <c r="I38" i="324"/>
  <c r="J38" i="324" s="1"/>
  <c r="I37" i="324"/>
  <c r="J37" i="324" s="1"/>
  <c r="I36" i="324"/>
  <c r="J36" i="324" s="1"/>
  <c r="I35" i="324"/>
  <c r="J35" i="324" s="1"/>
  <c r="I34" i="324"/>
  <c r="J34" i="324" s="1"/>
  <c r="I33" i="324"/>
  <c r="J33" i="324" s="1"/>
  <c r="I32" i="324"/>
  <c r="J32" i="324" s="1"/>
  <c r="I31" i="324"/>
  <c r="J31" i="324" s="1"/>
  <c r="I30" i="324"/>
  <c r="J30" i="324" s="1"/>
  <c r="I29" i="324"/>
  <c r="J29" i="324" s="1"/>
  <c r="I28" i="324"/>
  <c r="J28" i="324" s="1"/>
  <c r="I27" i="324"/>
  <c r="J27" i="324" s="1"/>
  <c r="I26" i="324"/>
  <c r="J26" i="324" s="1"/>
  <c r="I25" i="324"/>
  <c r="J25" i="324" s="1"/>
  <c r="I24" i="324"/>
  <c r="J24" i="324" s="1"/>
  <c r="I23" i="324"/>
  <c r="J23" i="324" s="1"/>
  <c r="I22" i="324"/>
  <c r="J22" i="324" s="1"/>
  <c r="I21" i="324"/>
  <c r="J21" i="324" s="1"/>
  <c r="I20" i="324"/>
  <c r="J20" i="324" s="1"/>
  <c r="I19" i="324"/>
  <c r="J19" i="324" s="1"/>
  <c r="I18" i="324"/>
  <c r="J18" i="324" s="1"/>
  <c r="I17" i="324"/>
  <c r="J17" i="324" s="1"/>
  <c r="I16" i="324"/>
  <c r="J16" i="324" s="1"/>
  <c r="I15" i="324"/>
  <c r="J15" i="324" s="1"/>
  <c r="I14" i="324"/>
  <c r="J14" i="324" s="1"/>
  <c r="I13" i="324"/>
  <c r="J13" i="324" s="1"/>
  <c r="I12" i="324"/>
  <c r="J12" i="324" s="1"/>
  <c r="I11" i="324"/>
  <c r="J11" i="324" s="1"/>
  <c r="I10" i="324"/>
  <c r="J10" i="324" s="1"/>
  <c r="I9" i="324"/>
  <c r="J9" i="324" s="1"/>
  <c r="I8" i="324"/>
  <c r="J8" i="324" s="1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 s="1"/>
  <c r="I60" i="268"/>
  <c r="J60" i="268" s="1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 s="1"/>
  <c r="I51" i="268"/>
  <c r="J51" i="268" s="1"/>
  <c r="I50" i="268"/>
  <c r="J50" i="268" s="1"/>
  <c r="I49" i="268"/>
  <c r="J49" i="268" s="1"/>
  <c r="I48" i="268"/>
  <c r="J48" i="268" s="1"/>
  <c r="I46" i="268"/>
  <c r="J46" i="268" s="1"/>
  <c r="I45" i="268"/>
  <c r="J45" i="268" s="1"/>
  <c r="I44" i="268"/>
  <c r="J44" i="268" s="1"/>
  <c r="A51" i="268"/>
  <c r="A55" i="268"/>
  <c r="I72" i="268"/>
  <c r="J72" i="268" s="1"/>
  <c r="I71" i="268"/>
  <c r="J71" i="268" s="1"/>
  <c r="I69" i="268"/>
  <c r="J69" i="268" s="1"/>
  <c r="I68" i="268"/>
  <c r="J68" i="268" s="1"/>
  <c r="I67" i="268"/>
  <c r="J67" i="268" s="1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F35" i="178"/>
  <c r="F38" i="267" s="1"/>
  <c r="F13" i="178"/>
  <c r="F36" i="267" s="1"/>
  <c r="F48" i="178"/>
  <c r="F40" i="267" s="1"/>
  <c r="F25" i="178"/>
  <c r="F37" i="267" s="1"/>
  <c r="A49" i="178"/>
  <c r="A2" i="178"/>
  <c r="G3" i="178"/>
  <c r="F3" i="178"/>
  <c r="E3" i="178"/>
  <c r="D3" i="178"/>
  <c r="C3" i="178"/>
  <c r="B2" i="178"/>
  <c r="F40" i="178"/>
  <c r="F39" i="267" s="1"/>
  <c r="I7" i="177"/>
  <c r="J7" i="177" s="1"/>
  <c r="I10" i="177"/>
  <c r="J10" i="177" s="1"/>
  <c r="I11" i="177"/>
  <c r="J11" i="177" s="1"/>
  <c r="I12" i="177"/>
  <c r="J12" i="177" s="1"/>
  <c r="I13" i="177"/>
  <c r="J13" i="177" s="1"/>
  <c r="I15" i="177"/>
  <c r="J15" i="177" s="1"/>
  <c r="I16" i="177"/>
  <c r="J16" i="177" s="1"/>
  <c r="I17" i="177"/>
  <c r="J17" i="177" s="1"/>
  <c r="E83" i="100"/>
  <c r="B83" i="100"/>
  <c r="I32" i="177"/>
  <c r="J32" i="177" s="1"/>
  <c r="I33" i="177"/>
  <c r="I34" i="177"/>
  <c r="J34" i="177" s="1"/>
  <c r="I36" i="177"/>
  <c r="J36" i="177" s="1"/>
  <c r="J35" i="177"/>
  <c r="J33" i="177"/>
  <c r="I22" i="177"/>
  <c r="J22" i="177" s="1"/>
  <c r="I27" i="177"/>
  <c r="J27" i="177" s="1"/>
  <c r="I23" i="177"/>
  <c r="J23" i="177" s="1"/>
  <c r="I24" i="177"/>
  <c r="J24" i="177" s="1"/>
  <c r="I25" i="177"/>
  <c r="J25" i="177" s="1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 s="1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 s="1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 s="1"/>
  <c r="F16" i="180"/>
  <c r="F15" i="180"/>
  <c r="B37" i="172" s="1"/>
  <c r="G6" i="180"/>
  <c r="C28" i="172" s="1"/>
  <c r="F6" i="180"/>
  <c r="B28" i="172" s="1"/>
  <c r="G3" i="180"/>
  <c r="C27" i="172" s="1"/>
  <c r="F3" i="180"/>
  <c r="B27" i="172" s="1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 s="1"/>
  <c r="D3" i="172"/>
  <c r="D3" i="180"/>
  <c r="D2" i="172" s="1"/>
  <c r="C3" i="180"/>
  <c r="C2" i="172" s="1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18" i="175"/>
  <c r="K17" i="175"/>
  <c r="C78" i="172" s="1"/>
  <c r="B78" i="172" s="1"/>
  <c r="I54" i="172"/>
  <c r="H54" i="172"/>
  <c r="G54" i="172"/>
  <c r="F54" i="172"/>
  <c r="E54" i="172"/>
  <c r="D54" i="172"/>
  <c r="C54" i="172"/>
  <c r="B54" i="172"/>
  <c r="I53" i="172"/>
  <c r="H53" i="172"/>
  <c r="G53" i="172"/>
  <c r="F53" i="172"/>
  <c r="E53" i="172"/>
  <c r="D53" i="172"/>
  <c r="C53" i="172"/>
  <c r="B53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I44" i="181"/>
  <c r="J44" i="181" s="1"/>
  <c r="I42" i="181"/>
  <c r="J42" i="181" s="1"/>
  <c r="I41" i="181"/>
  <c r="J41" i="181" s="1"/>
  <c r="I40" i="181"/>
  <c r="J40" i="181" s="1"/>
  <c r="I36" i="181"/>
  <c r="J36" i="181" s="1"/>
  <c r="I35" i="181"/>
  <c r="J35" i="181" s="1"/>
  <c r="I34" i="181"/>
  <c r="J34" i="181" s="1"/>
  <c r="I33" i="181"/>
  <c r="J33" i="181"/>
  <c r="I32" i="181"/>
  <c r="J32" i="181" s="1"/>
  <c r="I31" i="181"/>
  <c r="J31" i="181" s="1"/>
  <c r="I30" i="181"/>
  <c r="J30" i="181" s="1"/>
  <c r="I29" i="181"/>
  <c r="J29" i="181" s="1"/>
  <c r="I28" i="181"/>
  <c r="J28" i="181" s="1"/>
  <c r="I27" i="181"/>
  <c r="J27" i="181" s="1"/>
  <c r="I26" i="181"/>
  <c r="J26" i="181" s="1"/>
  <c r="I22" i="181"/>
  <c r="J22" i="181"/>
  <c r="I21" i="181"/>
  <c r="J21" i="181" s="1"/>
  <c r="I20" i="181"/>
  <c r="J20" i="181" s="1"/>
  <c r="I19" i="181"/>
  <c r="J19" i="181" s="1"/>
  <c r="I18" i="181"/>
  <c r="J18" i="181" s="1"/>
  <c r="I17" i="181"/>
  <c r="J17" i="181" s="1"/>
  <c r="I16" i="181"/>
  <c r="J16" i="181" s="1"/>
  <c r="I15" i="181"/>
  <c r="J15" i="181" s="1"/>
  <c r="I14" i="181"/>
  <c r="J14" i="181"/>
  <c r="I13" i="181"/>
  <c r="J13" i="181" s="1"/>
  <c r="I12" i="181"/>
  <c r="J12" i="181" s="1"/>
  <c r="I11" i="181"/>
  <c r="J11" i="181" s="1"/>
  <c r="I10" i="181"/>
  <c r="J10" i="181" s="1"/>
  <c r="I9" i="181"/>
  <c r="J9" i="181" s="1"/>
  <c r="I8" i="181"/>
  <c r="J8" i="181" s="1"/>
  <c r="I7" i="181"/>
  <c r="J7" i="181" s="1"/>
  <c r="I6" i="181"/>
  <c r="J6" i="181"/>
  <c r="K23" i="181"/>
  <c r="K37" i="181"/>
  <c r="F23" i="181"/>
  <c r="F37" i="181"/>
  <c r="E23" i="181"/>
  <c r="E37" i="181"/>
  <c r="D23" i="181"/>
  <c r="D37" i="181"/>
  <c r="D39" i="181" s="1"/>
  <c r="D43" i="181" s="1"/>
  <c r="D45" i="181" s="1"/>
  <c r="C23" i="181"/>
  <c r="C37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G29" i="183"/>
  <c r="G31" i="183" s="1"/>
  <c r="H29" i="183"/>
  <c r="G43" i="183"/>
  <c r="H43" i="183"/>
  <c r="J42" i="183"/>
  <c r="I41" i="183"/>
  <c r="J41" i="183" s="1"/>
  <c r="I40" i="183"/>
  <c r="J40" i="183" s="1"/>
  <c r="I39" i="183"/>
  <c r="J39" i="183" s="1"/>
  <c r="I38" i="183"/>
  <c r="J38" i="183" s="1"/>
  <c r="I37" i="183"/>
  <c r="J37" i="183" s="1"/>
  <c r="I36" i="183"/>
  <c r="J36" i="183" s="1"/>
  <c r="I35" i="183"/>
  <c r="J35" i="183" s="1"/>
  <c r="I34" i="183"/>
  <c r="J34" i="183" s="1"/>
  <c r="I33" i="183"/>
  <c r="J33" i="183" s="1"/>
  <c r="J30" i="183"/>
  <c r="I28" i="183"/>
  <c r="J28" i="183" s="1"/>
  <c r="I27" i="183"/>
  <c r="J27" i="183" s="1"/>
  <c r="I26" i="183"/>
  <c r="J26" i="183" s="1"/>
  <c r="I25" i="183"/>
  <c r="J25" i="183" s="1"/>
  <c r="I24" i="183"/>
  <c r="J24" i="183" s="1"/>
  <c r="I23" i="183"/>
  <c r="J23" i="183" s="1"/>
  <c r="I22" i="183"/>
  <c r="J22" i="183" s="1"/>
  <c r="I21" i="183"/>
  <c r="J21" i="183" s="1"/>
  <c r="I20" i="183"/>
  <c r="J20" i="183" s="1"/>
  <c r="I19" i="183"/>
  <c r="J19" i="183" s="1"/>
  <c r="A33" i="183"/>
  <c r="I15" i="183"/>
  <c r="J15" i="183" s="1"/>
  <c r="I14" i="183"/>
  <c r="J14" i="183" s="1"/>
  <c r="I13" i="183"/>
  <c r="J13" i="183" s="1"/>
  <c r="I12" i="183"/>
  <c r="J12" i="183" s="1"/>
  <c r="I11" i="183"/>
  <c r="J11" i="183" s="1"/>
  <c r="I10" i="183"/>
  <c r="J10" i="183" s="1"/>
  <c r="I9" i="183"/>
  <c r="J9" i="183" s="1"/>
  <c r="I8" i="183"/>
  <c r="J8" i="183" s="1"/>
  <c r="I7" i="183"/>
  <c r="J7" i="183" s="1"/>
  <c r="I6" i="183"/>
  <c r="J6" i="183" s="1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J6" i="180" s="1"/>
  <c r="I3" i="180"/>
  <c r="H3" i="180"/>
  <c r="B3" i="180"/>
  <c r="B18" i="180"/>
  <c r="I66" i="242"/>
  <c r="J66" i="242" s="1"/>
  <c r="I65" i="242"/>
  <c r="J65" i="242" s="1"/>
  <c r="J63" i="242"/>
  <c r="J67" i="242"/>
  <c r="I70" i="242"/>
  <c r="J70" i="242" s="1"/>
  <c r="I44" i="242"/>
  <c r="J44" i="242" s="1"/>
  <c r="I45" i="242"/>
  <c r="J45" i="242" s="1"/>
  <c r="I46" i="242"/>
  <c r="J46" i="242" s="1"/>
  <c r="I41" i="242"/>
  <c r="J41" i="242" s="1"/>
  <c r="I9" i="242"/>
  <c r="J9" i="242" s="1"/>
  <c r="I10" i="242"/>
  <c r="J10" i="242" s="1"/>
  <c r="I12" i="242"/>
  <c r="J12" i="242" s="1"/>
  <c r="I13" i="242"/>
  <c r="J13" i="242" s="1"/>
  <c r="I14" i="242"/>
  <c r="J14" i="242" s="1"/>
  <c r="I16" i="242"/>
  <c r="J16" i="242"/>
  <c r="I17" i="242"/>
  <c r="J17" i="242" s="1"/>
  <c r="I18" i="242"/>
  <c r="J18" i="242" s="1"/>
  <c r="I20" i="242"/>
  <c r="J20" i="242" s="1"/>
  <c r="I21" i="242"/>
  <c r="J21" i="242" s="1"/>
  <c r="I23" i="242"/>
  <c r="J23" i="242" s="1"/>
  <c r="I24" i="242"/>
  <c r="J24" i="242" s="1"/>
  <c r="I25" i="242"/>
  <c r="J25" i="242" s="1"/>
  <c r="I26" i="242"/>
  <c r="J26" i="242" s="1"/>
  <c r="J27" i="242"/>
  <c r="I69" i="242"/>
  <c r="J69" i="242" s="1"/>
  <c r="I74" i="242"/>
  <c r="J74" i="242" s="1"/>
  <c r="I73" i="242"/>
  <c r="J73" i="242" s="1"/>
  <c r="I72" i="242"/>
  <c r="J72" i="242" s="1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I51" i="242"/>
  <c r="J51" i="242" s="1"/>
  <c r="I49" i="242"/>
  <c r="J49" i="242" s="1"/>
  <c r="I48" i="242"/>
  <c r="J48" i="242" s="1"/>
  <c r="I42" i="242"/>
  <c r="J42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 s="1"/>
  <c r="I65" i="326"/>
  <c r="J65" i="326" s="1"/>
  <c r="I64" i="326"/>
  <c r="J64" i="326" s="1"/>
  <c r="J63" i="326"/>
  <c r="A83" i="326"/>
  <c r="I70" i="326"/>
  <c r="J70" i="326" s="1"/>
  <c r="I69" i="326"/>
  <c r="J69" i="326" s="1"/>
  <c r="J67" i="326"/>
  <c r="I74" i="326"/>
  <c r="J74" i="326" s="1"/>
  <c r="I73" i="326"/>
  <c r="J73" i="326" s="1"/>
  <c r="I72" i="326"/>
  <c r="J72" i="326" s="1"/>
  <c r="I62" i="326"/>
  <c r="J62" i="326" s="1"/>
  <c r="I61" i="326"/>
  <c r="J61" i="326" s="1"/>
  <c r="I60" i="326"/>
  <c r="J60" i="326" s="1"/>
  <c r="I59" i="326"/>
  <c r="J59" i="326" s="1"/>
  <c r="I58" i="326"/>
  <c r="J58" i="326" s="1"/>
  <c r="I57" i="326"/>
  <c r="J57" i="326" s="1"/>
  <c r="I56" i="326"/>
  <c r="J56" i="326" s="1"/>
  <c r="I55" i="326"/>
  <c r="J55" i="326" s="1"/>
  <c r="I54" i="326"/>
  <c r="J54" i="326" s="1"/>
  <c r="I53" i="326"/>
  <c r="J53" i="326" s="1"/>
  <c r="I51" i="326"/>
  <c r="J51" i="326" s="1"/>
  <c r="I49" i="326"/>
  <c r="J49" i="326" s="1"/>
  <c r="I48" i="326"/>
  <c r="J48" i="326" s="1"/>
  <c r="I46" i="326"/>
  <c r="J46" i="326" s="1"/>
  <c r="I45" i="326"/>
  <c r="J45" i="326" s="1"/>
  <c r="I44" i="326"/>
  <c r="J44" i="326" s="1"/>
  <c r="I42" i="326"/>
  <c r="J42" i="326" s="1"/>
  <c r="I41" i="326"/>
  <c r="J41" i="326" s="1"/>
  <c r="I40" i="326"/>
  <c r="J40" i="326" s="1"/>
  <c r="I39" i="326"/>
  <c r="J39" i="326" s="1"/>
  <c r="I38" i="326"/>
  <c r="J38" i="326" s="1"/>
  <c r="I37" i="326"/>
  <c r="J37" i="326" s="1"/>
  <c r="I36" i="326"/>
  <c r="J36" i="326" s="1"/>
  <c r="I35" i="326"/>
  <c r="J35" i="326" s="1"/>
  <c r="I34" i="326"/>
  <c r="J34" i="326" s="1"/>
  <c r="I33" i="326"/>
  <c r="J33" i="326" s="1"/>
  <c r="I32" i="326"/>
  <c r="J32" i="326" s="1"/>
  <c r="I31" i="326"/>
  <c r="J31" i="326" s="1"/>
  <c r="I30" i="326"/>
  <c r="J30" i="326" s="1"/>
  <c r="I29" i="326"/>
  <c r="J29" i="326" s="1"/>
  <c r="J27" i="326"/>
  <c r="I26" i="326"/>
  <c r="J26" i="326" s="1"/>
  <c r="I25" i="326"/>
  <c r="J25" i="326" s="1"/>
  <c r="I24" i="326"/>
  <c r="J24" i="326" s="1"/>
  <c r="I23" i="326"/>
  <c r="J23" i="326" s="1"/>
  <c r="I21" i="326"/>
  <c r="J21" i="326" s="1"/>
  <c r="I20" i="326"/>
  <c r="J20" i="326" s="1"/>
  <c r="I18" i="326"/>
  <c r="J18" i="326" s="1"/>
  <c r="I17" i="326"/>
  <c r="J17" i="326" s="1"/>
  <c r="I16" i="326"/>
  <c r="J16" i="326" s="1"/>
  <c r="I14" i="326"/>
  <c r="J14" i="326" s="1"/>
  <c r="I13" i="326"/>
  <c r="J13" i="326" s="1"/>
  <c r="I12" i="326"/>
  <c r="J12" i="326" s="1"/>
  <c r="I10" i="326"/>
  <c r="J10" i="326" s="1"/>
  <c r="I9" i="326"/>
  <c r="J9" i="326" s="1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50" i="325"/>
  <c r="K64" i="325"/>
  <c r="K68" i="325"/>
  <c r="K72" i="325"/>
  <c r="H8" i="325"/>
  <c r="H11" i="325"/>
  <c r="H15" i="325"/>
  <c r="H19" i="325"/>
  <c r="H22" i="325"/>
  <c r="H28" i="325"/>
  <c r="H43" i="325"/>
  <c r="H47" i="325"/>
  <c r="H64" i="325"/>
  <c r="H68" i="325"/>
  <c r="H72" i="325"/>
  <c r="G8" i="325"/>
  <c r="G11" i="325"/>
  <c r="G15" i="325"/>
  <c r="I15" i="325" s="1"/>
  <c r="J15" i="325" s="1"/>
  <c r="G19" i="325"/>
  <c r="G22" i="325"/>
  <c r="G28" i="325"/>
  <c r="G43" i="325"/>
  <c r="G47" i="325"/>
  <c r="G50" i="325"/>
  <c r="G64" i="325"/>
  <c r="G68" i="325"/>
  <c r="G72" i="325"/>
  <c r="F8" i="325"/>
  <c r="F11" i="325"/>
  <c r="F15" i="325"/>
  <c r="F19" i="325"/>
  <c r="F22" i="325"/>
  <c r="F28" i="325"/>
  <c r="F43" i="325"/>
  <c r="F47" i="325"/>
  <c r="F50" i="325"/>
  <c r="F64" i="325"/>
  <c r="F68" i="325"/>
  <c r="F72" i="325"/>
  <c r="E8" i="325"/>
  <c r="E11" i="325"/>
  <c r="E15" i="325"/>
  <c r="E19" i="325"/>
  <c r="E22" i="325"/>
  <c r="E28" i="325"/>
  <c r="E43" i="325"/>
  <c r="E47" i="325"/>
  <c r="E50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15" i="325"/>
  <c r="C19" i="325"/>
  <c r="C22" i="325"/>
  <c r="C28" i="325"/>
  <c r="C43" i="325"/>
  <c r="C47" i="325"/>
  <c r="C50" i="325"/>
  <c r="C64" i="325"/>
  <c r="C68" i="325"/>
  <c r="C72" i="325"/>
  <c r="I66" i="325"/>
  <c r="J66" i="325" s="1"/>
  <c r="I65" i="325"/>
  <c r="J65" i="325" s="1"/>
  <c r="J63" i="325"/>
  <c r="I70" i="325"/>
  <c r="J70" i="325" s="1"/>
  <c r="I69" i="325"/>
  <c r="J69" i="325" s="1"/>
  <c r="J67" i="325"/>
  <c r="I74" i="325"/>
  <c r="J74" i="325" s="1"/>
  <c r="I73" i="325"/>
  <c r="J73" i="325" s="1"/>
  <c r="I62" i="325"/>
  <c r="J62" i="325" s="1"/>
  <c r="I61" i="325"/>
  <c r="J61" i="325" s="1"/>
  <c r="I60" i="325"/>
  <c r="J60" i="325" s="1"/>
  <c r="I59" i="325"/>
  <c r="J59" i="325" s="1"/>
  <c r="I58" i="325"/>
  <c r="J58" i="325" s="1"/>
  <c r="I57" i="325"/>
  <c r="J57" i="325" s="1"/>
  <c r="I56" i="325"/>
  <c r="J56" i="325" s="1"/>
  <c r="I55" i="325"/>
  <c r="J55" i="325" s="1"/>
  <c r="I54" i="325"/>
  <c r="J54" i="325" s="1"/>
  <c r="I53" i="325"/>
  <c r="J53" i="325" s="1"/>
  <c r="I51" i="325"/>
  <c r="J51" i="325" s="1"/>
  <c r="I49" i="325"/>
  <c r="J49" i="325" s="1"/>
  <c r="I48" i="325"/>
  <c r="J48" i="325" s="1"/>
  <c r="I46" i="325"/>
  <c r="J46" i="325" s="1"/>
  <c r="I45" i="325"/>
  <c r="J45" i="325" s="1"/>
  <c r="I44" i="325"/>
  <c r="J44" i="325" s="1"/>
  <c r="I42" i="325"/>
  <c r="J42" i="325" s="1"/>
  <c r="I41" i="325"/>
  <c r="J41" i="325" s="1"/>
  <c r="I40" i="325"/>
  <c r="J40" i="325" s="1"/>
  <c r="I39" i="325"/>
  <c r="J39" i="325" s="1"/>
  <c r="I38" i="325"/>
  <c r="J38" i="325" s="1"/>
  <c r="I37" i="325"/>
  <c r="J37" i="325" s="1"/>
  <c r="I36" i="325"/>
  <c r="J36" i="325" s="1"/>
  <c r="I35" i="325"/>
  <c r="J35" i="325" s="1"/>
  <c r="I34" i="325"/>
  <c r="J34" i="325" s="1"/>
  <c r="I33" i="325"/>
  <c r="J33" i="325" s="1"/>
  <c r="I32" i="325"/>
  <c r="J32" i="325" s="1"/>
  <c r="I31" i="325"/>
  <c r="J31" i="325" s="1"/>
  <c r="I30" i="325"/>
  <c r="J30" i="325" s="1"/>
  <c r="I29" i="325"/>
  <c r="J29" i="325" s="1"/>
  <c r="J27" i="325"/>
  <c r="I26" i="325"/>
  <c r="J26" i="325" s="1"/>
  <c r="I25" i="325"/>
  <c r="J25" i="325" s="1"/>
  <c r="I24" i="325"/>
  <c r="J24" i="325" s="1"/>
  <c r="I23" i="325"/>
  <c r="J23" i="325" s="1"/>
  <c r="I21" i="325"/>
  <c r="J21" i="325" s="1"/>
  <c r="I20" i="325"/>
  <c r="J20" i="325" s="1"/>
  <c r="I18" i="325"/>
  <c r="J18" i="325" s="1"/>
  <c r="I17" i="325"/>
  <c r="J17" i="325" s="1"/>
  <c r="I16" i="325"/>
  <c r="J16" i="325" s="1"/>
  <c r="I14" i="325"/>
  <c r="J14" i="325" s="1"/>
  <c r="I13" i="325"/>
  <c r="J13" i="325" s="1"/>
  <c r="I12" i="325"/>
  <c r="J12" i="325" s="1"/>
  <c r="I10" i="325"/>
  <c r="J10" i="325" s="1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 s="1"/>
  <c r="G42" i="174"/>
  <c r="F42" i="174"/>
  <c r="F44" i="174"/>
  <c r="F55" i="174"/>
  <c r="F27" i="174" s="1"/>
  <c r="E42" i="174"/>
  <c r="E44" i="174"/>
  <c r="H40" i="174"/>
  <c r="G40" i="174"/>
  <c r="F40" i="174"/>
  <c r="E40" i="174"/>
  <c r="D42" i="174"/>
  <c r="D44" i="174"/>
  <c r="D40" i="174"/>
  <c r="H63" i="174"/>
  <c r="H18" i="174" s="1"/>
  <c r="G63" i="174"/>
  <c r="G18" i="174" s="1"/>
  <c r="F63" i="174"/>
  <c r="F18" i="174" s="1"/>
  <c r="E63" i="174"/>
  <c r="E18" i="174" s="1"/>
  <c r="H59" i="174"/>
  <c r="G59" i="174"/>
  <c r="F59" i="174"/>
  <c r="E59" i="174"/>
  <c r="D63" i="174"/>
  <c r="D18" i="174" s="1"/>
  <c r="D59" i="174"/>
  <c r="H53" i="174"/>
  <c r="H14" i="174" s="1"/>
  <c r="H52" i="174"/>
  <c r="E52" i="174"/>
  <c r="D52" i="174"/>
  <c r="H51" i="174"/>
  <c r="H50" i="174"/>
  <c r="G51" i="174"/>
  <c r="G50" i="174"/>
  <c r="F51" i="174"/>
  <c r="F50" i="174"/>
  <c r="E51" i="174"/>
  <c r="E50" i="174"/>
  <c r="D51" i="174"/>
  <c r="D11" i="174" s="1"/>
  <c r="D50" i="174"/>
  <c r="H48" i="174"/>
  <c r="H49" i="174"/>
  <c r="G48" i="174"/>
  <c r="F48" i="174"/>
  <c r="E48" i="174"/>
  <c r="D48" i="174"/>
  <c r="D49" i="174"/>
  <c r="H47" i="174"/>
  <c r="G47" i="174"/>
  <c r="F47" i="174"/>
  <c r="E47" i="174"/>
  <c r="D47" i="174"/>
  <c r="E45" i="174"/>
  <c r="D45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H21" i="175"/>
  <c r="G21" i="175"/>
  <c r="G26" i="175" s="1"/>
  <c r="G27" i="175" s="1"/>
  <c r="F21" i="175"/>
  <c r="E21" i="175"/>
  <c r="D21" i="175"/>
  <c r="A2" i="175"/>
  <c r="M14" i="175"/>
  <c r="M21" i="175"/>
  <c r="L15" i="173"/>
  <c r="A2" i="173"/>
  <c r="J12" i="238"/>
  <c r="J22" i="238"/>
  <c r="I22" i="238"/>
  <c r="I24" i="238" s="1"/>
  <c r="H22" i="238"/>
  <c r="H24" i="238" s="1"/>
  <c r="A25" i="238"/>
  <c r="C41" i="270"/>
  <c r="C59" i="270"/>
  <c r="I63" i="270"/>
  <c r="J63" i="270" s="1"/>
  <c r="I53" i="270"/>
  <c r="J53" i="270" s="1"/>
  <c r="K52" i="270"/>
  <c r="G52" i="270"/>
  <c r="H52" i="270"/>
  <c r="F52" i="270"/>
  <c r="E52" i="270"/>
  <c r="D52" i="270"/>
  <c r="K62" i="270"/>
  <c r="G62" i="270"/>
  <c r="H62" i="270"/>
  <c r="F62" i="270"/>
  <c r="E62" i="270"/>
  <c r="D62" i="270"/>
  <c r="I61" i="270"/>
  <c r="J61" i="270" s="1"/>
  <c r="I60" i="270"/>
  <c r="J60" i="270" s="1"/>
  <c r="K59" i="270"/>
  <c r="G59" i="270"/>
  <c r="H59" i="270"/>
  <c r="F59" i="270"/>
  <c r="E59" i="270"/>
  <c r="D59" i="270"/>
  <c r="K41" i="270"/>
  <c r="G41" i="270"/>
  <c r="H41" i="270"/>
  <c r="F41" i="270"/>
  <c r="E41" i="270"/>
  <c r="D41" i="270"/>
  <c r="G27" i="270"/>
  <c r="H27" i="270"/>
  <c r="I28" i="270"/>
  <c r="J28" i="270" s="1"/>
  <c r="I29" i="270"/>
  <c r="J29" i="270" s="1"/>
  <c r="G30" i="270"/>
  <c r="H30" i="270"/>
  <c r="I31" i="270"/>
  <c r="J31" i="270" s="1"/>
  <c r="I37" i="270"/>
  <c r="J37" i="270" s="1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44" i="334" s="1"/>
  <c r="A59" i="270"/>
  <c r="A52" i="270"/>
  <c r="A41" i="270"/>
  <c r="A31" i="334" s="1"/>
  <c r="I42" i="270"/>
  <c r="J42" i="270" s="1"/>
  <c r="I47" i="270"/>
  <c r="J47" i="270" s="1"/>
  <c r="I48" i="270"/>
  <c r="J48" i="270" s="1"/>
  <c r="I49" i="270"/>
  <c r="J49" i="270" s="1"/>
  <c r="I50" i="270"/>
  <c r="J50" i="270" s="1"/>
  <c r="I51" i="270"/>
  <c r="J51" i="270" s="1"/>
  <c r="I58" i="270"/>
  <c r="J58" i="270" s="1"/>
  <c r="I68" i="270"/>
  <c r="J68" i="270" s="1"/>
  <c r="I9" i="270"/>
  <c r="J9" i="270" s="1"/>
  <c r="I14" i="270"/>
  <c r="J14" i="270" s="1"/>
  <c r="I15" i="270"/>
  <c r="J15" i="270" s="1"/>
  <c r="I16" i="270"/>
  <c r="J16" i="270" s="1"/>
  <c r="I17" i="270"/>
  <c r="J17" i="270" s="1"/>
  <c r="I18" i="270"/>
  <c r="J18" i="270" s="1"/>
  <c r="I19" i="270"/>
  <c r="J19" i="270" s="1"/>
  <c r="I21" i="270"/>
  <c r="J21" i="270" s="1"/>
  <c r="I23" i="270"/>
  <c r="J23" i="270" s="1"/>
  <c r="I24" i="270"/>
  <c r="I25" i="270"/>
  <c r="J25" i="270" s="1"/>
  <c r="I26" i="270"/>
  <c r="J26" i="270" s="1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 s="1"/>
  <c r="I45" i="269"/>
  <c r="J45" i="269" s="1"/>
  <c r="K44" i="269"/>
  <c r="G44" i="269"/>
  <c r="H44" i="269"/>
  <c r="F44" i="269"/>
  <c r="E44" i="269"/>
  <c r="D44" i="269"/>
  <c r="C44" i="269"/>
  <c r="I43" i="269"/>
  <c r="J43" i="269" s="1"/>
  <c r="I42" i="269"/>
  <c r="J42" i="269" s="1"/>
  <c r="K41" i="269"/>
  <c r="G41" i="269"/>
  <c r="H41" i="269"/>
  <c r="F41" i="269"/>
  <c r="E41" i="269"/>
  <c r="D41" i="269"/>
  <c r="C41" i="269"/>
  <c r="I40" i="269"/>
  <c r="J40" i="269" s="1"/>
  <c r="I39" i="269"/>
  <c r="J39" i="269" s="1"/>
  <c r="K38" i="269"/>
  <c r="G38" i="269"/>
  <c r="H38" i="269"/>
  <c r="F38" i="269"/>
  <c r="E38" i="269"/>
  <c r="D38" i="269"/>
  <c r="C38" i="269"/>
  <c r="I37" i="269"/>
  <c r="J37" i="269" s="1"/>
  <c r="I36" i="269"/>
  <c r="J36" i="269" s="1"/>
  <c r="I35" i="269"/>
  <c r="J35" i="269" s="1"/>
  <c r="I34" i="269"/>
  <c r="J34" i="269" s="1"/>
  <c r="I33" i="269"/>
  <c r="J33" i="269" s="1"/>
  <c r="I32" i="269"/>
  <c r="J32" i="269" s="1"/>
  <c r="K31" i="269"/>
  <c r="H31" i="269"/>
  <c r="G31" i="269"/>
  <c r="F31" i="269"/>
  <c r="E31" i="269"/>
  <c r="D31" i="269"/>
  <c r="C31" i="269"/>
  <c r="K8" i="269"/>
  <c r="K16" i="269"/>
  <c r="K22" i="269"/>
  <c r="K25" i="269"/>
  <c r="I9" i="269"/>
  <c r="J9" i="269" s="1"/>
  <c r="I10" i="269"/>
  <c r="J10" i="269" s="1"/>
  <c r="I11" i="269"/>
  <c r="J11" i="269" s="1"/>
  <c r="I12" i="269"/>
  <c r="J12" i="269" s="1"/>
  <c r="I13" i="269"/>
  <c r="J13" i="269" s="1"/>
  <c r="I14" i="269"/>
  <c r="J14" i="269" s="1"/>
  <c r="I15" i="269"/>
  <c r="J15" i="269" s="1"/>
  <c r="I17" i="269"/>
  <c r="J17" i="269" s="1"/>
  <c r="I18" i="269"/>
  <c r="J18" i="269" s="1"/>
  <c r="I19" i="269"/>
  <c r="J19" i="269" s="1"/>
  <c r="I20" i="269"/>
  <c r="J20" i="269" s="1"/>
  <c r="I21" i="269"/>
  <c r="J21" i="269" s="1"/>
  <c r="G22" i="269"/>
  <c r="I22" i="269" s="1"/>
  <c r="J22" i="269" s="1"/>
  <c r="H22" i="269"/>
  <c r="G25" i="269"/>
  <c r="I25" i="269" s="1"/>
  <c r="J25" i="269" s="1"/>
  <c r="H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 s="1"/>
  <c r="I26" i="269"/>
  <c r="J26" i="269" s="1"/>
  <c r="I24" i="269"/>
  <c r="J24" i="269" s="1"/>
  <c r="I23" i="269"/>
  <c r="J23" i="269" s="1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46" i="318"/>
  <c r="H83" i="318"/>
  <c r="H99" i="318"/>
  <c r="G30" i="318"/>
  <c r="G46" i="318"/>
  <c r="G83" i="318"/>
  <c r="I83" i="318" s="1"/>
  <c r="G99" i="318"/>
  <c r="I99" i="318" s="1"/>
  <c r="J99" i="318" s="1"/>
  <c r="F30" i="318"/>
  <c r="F46" i="318"/>
  <c r="F83" i="318"/>
  <c r="F99" i="318"/>
  <c r="G14" i="318"/>
  <c r="G67" i="318"/>
  <c r="H14" i="318"/>
  <c r="I14" i="318" s="1"/>
  <c r="J14" i="318" s="1"/>
  <c r="H67" i="318"/>
  <c r="K14" i="318"/>
  <c r="K15" i="318" s="1"/>
  <c r="K30" i="318"/>
  <c r="K31" i="318" s="1"/>
  <c r="K46" i="318"/>
  <c r="K47" i="318" s="1"/>
  <c r="K67" i="318"/>
  <c r="K68" i="318" s="1"/>
  <c r="K83" i="318"/>
  <c r="K84" i="318" s="1"/>
  <c r="K99" i="318"/>
  <c r="K100" i="318" s="1"/>
  <c r="E14" i="318"/>
  <c r="E30" i="318"/>
  <c r="E46" i="318"/>
  <c r="E67" i="318"/>
  <c r="E83" i="318"/>
  <c r="E102" i="318" s="1"/>
  <c r="E99" i="318"/>
  <c r="E100" i="318" s="1"/>
  <c r="D14" i="318"/>
  <c r="D30" i="318"/>
  <c r="D46" i="318"/>
  <c r="D67" i="318"/>
  <c r="D68" i="318" s="1"/>
  <c r="D83" i="318"/>
  <c r="D99" i="318"/>
  <c r="D100" i="318" s="1"/>
  <c r="C83" i="318"/>
  <c r="E68" i="318"/>
  <c r="C14" i="318"/>
  <c r="I98" i="318"/>
  <c r="J98" i="318"/>
  <c r="I97" i="318"/>
  <c r="J97" i="318" s="1"/>
  <c r="I96" i="318"/>
  <c r="J96" i="318" s="1"/>
  <c r="I95" i="318"/>
  <c r="J95" i="318" s="1"/>
  <c r="I94" i="318"/>
  <c r="J94" i="318" s="1"/>
  <c r="I93" i="318"/>
  <c r="J93" i="318" s="1"/>
  <c r="I88" i="318"/>
  <c r="J88" i="318" s="1"/>
  <c r="I87" i="318"/>
  <c r="J87" i="318" s="1"/>
  <c r="I82" i="318"/>
  <c r="J82" i="318" s="1"/>
  <c r="I81" i="318"/>
  <c r="J81" i="318" s="1"/>
  <c r="I80" i="318"/>
  <c r="J80" i="318" s="1"/>
  <c r="I79" i="318"/>
  <c r="J79" i="318" s="1"/>
  <c r="I74" i="318"/>
  <c r="J74" i="318" s="1"/>
  <c r="I73" i="318"/>
  <c r="J73" i="318" s="1"/>
  <c r="I72" i="318"/>
  <c r="J72" i="318" s="1"/>
  <c r="I71" i="318"/>
  <c r="J71" i="318" s="1"/>
  <c r="I66" i="318"/>
  <c r="J66" i="318" s="1"/>
  <c r="I65" i="318"/>
  <c r="J65" i="318" s="1"/>
  <c r="I64" i="318"/>
  <c r="J64" i="318" s="1"/>
  <c r="I62" i="318"/>
  <c r="J62" i="318" s="1"/>
  <c r="I56" i="318"/>
  <c r="J56" i="318" s="1"/>
  <c r="I55" i="318"/>
  <c r="J55" i="318" s="1"/>
  <c r="I54" i="318"/>
  <c r="J54" i="318" s="1"/>
  <c r="I29" i="318"/>
  <c r="J29" i="318" s="1"/>
  <c r="I28" i="318"/>
  <c r="J28" i="318" s="1"/>
  <c r="I27" i="318"/>
  <c r="J27" i="318" s="1"/>
  <c r="I26" i="318"/>
  <c r="J26" i="318" s="1"/>
  <c r="I21" i="318"/>
  <c r="J21" i="318" s="1"/>
  <c r="I20" i="318"/>
  <c r="J20" i="318" s="1"/>
  <c r="I19" i="318"/>
  <c r="J19" i="318" s="1"/>
  <c r="I18" i="318"/>
  <c r="J18" i="318" s="1"/>
  <c r="I13" i="318"/>
  <c r="J13" i="318" s="1"/>
  <c r="I9" i="318"/>
  <c r="J9" i="318" s="1"/>
  <c r="I8" i="318"/>
  <c r="J8" i="318" s="1"/>
  <c r="I7" i="318"/>
  <c r="J7" i="318" s="1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C99" i="318"/>
  <c r="A107" i="318"/>
  <c r="P22" i="317"/>
  <c r="P34" i="317" s="1"/>
  <c r="P47" i="317"/>
  <c r="P53" i="317" s="1"/>
  <c r="O22" i="317"/>
  <c r="O34" i="317" s="1"/>
  <c r="O47" i="317"/>
  <c r="O53" i="317" s="1"/>
  <c r="O56" i="317"/>
  <c r="Q22" i="317"/>
  <c r="Q34" i="317" s="1"/>
  <c r="Q47" i="317"/>
  <c r="Q53" i="317" s="1"/>
  <c r="D22" i="317"/>
  <c r="D34" i="317" s="1"/>
  <c r="D47" i="317"/>
  <c r="D53" i="317" s="1"/>
  <c r="C22" i="317"/>
  <c r="C34" i="317" s="1"/>
  <c r="C47" i="317"/>
  <c r="C53" i="317" s="1"/>
  <c r="E22" i="317"/>
  <c r="E34" i="317" s="1"/>
  <c r="E47" i="317"/>
  <c r="E53" i="317" s="1"/>
  <c r="F22" i="317"/>
  <c r="F34" i="317" s="1"/>
  <c r="F47" i="317"/>
  <c r="F53" i="317" s="1"/>
  <c r="G22" i="317"/>
  <c r="G34" i="317" s="1"/>
  <c r="G47" i="317"/>
  <c r="G53" i="317" s="1"/>
  <c r="H22" i="317"/>
  <c r="H34" i="317" s="1"/>
  <c r="H47" i="317"/>
  <c r="H53" i="317" s="1"/>
  <c r="I22" i="317"/>
  <c r="I34" i="317" s="1"/>
  <c r="I47" i="317"/>
  <c r="I53" i="317" s="1"/>
  <c r="J22" i="317"/>
  <c r="J34" i="317" s="1"/>
  <c r="J47" i="317"/>
  <c r="J53" i="317" s="1"/>
  <c r="K22" i="317"/>
  <c r="K34" i="317" s="1"/>
  <c r="K47" i="317"/>
  <c r="K66" i="317" s="1"/>
  <c r="L22" i="317"/>
  <c r="L34" i="317" s="1"/>
  <c r="L47" i="317"/>
  <c r="L53" i="317" s="1"/>
  <c r="M22" i="317"/>
  <c r="M34" i="317" s="1"/>
  <c r="M47" i="317"/>
  <c r="M53" i="317" s="1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A2" i="317"/>
  <c r="N54" i="317"/>
  <c r="N36" i="317"/>
  <c r="N35" i="317"/>
  <c r="B13" i="100"/>
  <c r="P3" i="317" s="1"/>
  <c r="B2" i="317"/>
  <c r="B47" i="317"/>
  <c r="B53" i="317" s="1"/>
  <c r="B55" i="317" s="1"/>
  <c r="A58" i="317"/>
  <c r="C7" i="326"/>
  <c r="C76" i="326" s="1"/>
  <c r="I78" i="242"/>
  <c r="J78" i="242" s="1"/>
  <c r="H17" i="180"/>
  <c r="E31" i="183"/>
  <c r="D31" i="183"/>
  <c r="F39" i="181"/>
  <c r="F43" i="181" s="1"/>
  <c r="F45" i="181" s="1"/>
  <c r="D41" i="178"/>
  <c r="R342" i="324"/>
  <c r="S342" i="324"/>
  <c r="I231" i="324"/>
  <c r="I29" i="268" s="1"/>
  <c r="J29" i="268" s="1"/>
  <c r="H31" i="268"/>
  <c r="I275" i="324"/>
  <c r="I33" i="268" s="1"/>
  <c r="J33" i="268" s="1"/>
  <c r="H35" i="268"/>
  <c r="I319" i="324"/>
  <c r="I37" i="268" s="1"/>
  <c r="J37" i="268" s="1"/>
  <c r="H22" i="267"/>
  <c r="I22" i="267" s="1"/>
  <c r="K339" i="323"/>
  <c r="I68" i="325"/>
  <c r="J68" i="325" s="1"/>
  <c r="G7" i="326"/>
  <c r="I43" i="183"/>
  <c r="J43" i="183" s="1"/>
  <c r="K14" i="175"/>
  <c r="J50" i="267" s="1"/>
  <c r="U342" i="324"/>
  <c r="H172" i="324"/>
  <c r="I18" i="272"/>
  <c r="J18" i="272" s="1"/>
  <c r="C38" i="330"/>
  <c r="D63" i="268"/>
  <c r="K63" i="268"/>
  <c r="C75" i="330"/>
  <c r="C107" i="330"/>
  <c r="C44" i="241"/>
  <c r="F44" i="241"/>
  <c r="F17" i="241"/>
  <c r="G47" i="241"/>
  <c r="I47" i="241" s="1"/>
  <c r="J47" i="241" s="1"/>
  <c r="G32" i="241"/>
  <c r="G21" i="241"/>
  <c r="G18" i="241"/>
  <c r="G15" i="241"/>
  <c r="I15" i="241" s="1"/>
  <c r="J15" i="241" s="1"/>
  <c r="I34" i="330"/>
  <c r="J34" i="330" s="1"/>
  <c r="G11" i="241"/>
  <c r="G10" i="241" s="1"/>
  <c r="B93" i="100"/>
  <c r="D44" i="241"/>
  <c r="D34" i="241"/>
  <c r="D85" i="330"/>
  <c r="E32" i="241"/>
  <c r="E75" i="330"/>
  <c r="E21" i="241"/>
  <c r="E11" i="241"/>
  <c r="E16" i="330"/>
  <c r="H48" i="241"/>
  <c r="I135" i="330"/>
  <c r="J135" i="330" s="1"/>
  <c r="I129" i="330"/>
  <c r="J129" i="330" s="1"/>
  <c r="H34" i="241"/>
  <c r="H13" i="241"/>
  <c r="I13" i="241" s="1"/>
  <c r="J13" i="241" s="1"/>
  <c r="I27" i="330"/>
  <c r="J27" i="330" s="1"/>
  <c r="K40" i="241"/>
  <c r="K39" i="241" s="1"/>
  <c r="K32" i="241"/>
  <c r="K75" i="330"/>
  <c r="K53" i="330"/>
  <c r="K21" i="241"/>
  <c r="K11" i="241"/>
  <c r="K16" i="330"/>
  <c r="D21" i="241"/>
  <c r="E44" i="241"/>
  <c r="G44" i="241"/>
  <c r="K122" i="330"/>
  <c r="C53" i="330"/>
  <c r="C21" i="241"/>
  <c r="F66" i="317"/>
  <c r="I176" i="324"/>
  <c r="J176" i="324" s="1"/>
  <c r="I242" i="324"/>
  <c r="J242" i="324" s="1"/>
  <c r="I253" i="324"/>
  <c r="I31" i="268" s="1"/>
  <c r="J31" i="268" s="1"/>
  <c r="I264" i="324"/>
  <c r="J264" i="324" s="1"/>
  <c r="I330" i="324"/>
  <c r="I38" i="268" s="1"/>
  <c r="J38" i="268" s="1"/>
  <c r="B79" i="100"/>
  <c r="B96" i="100"/>
  <c r="B97" i="100"/>
  <c r="D7" i="242"/>
  <c r="D76" i="242" s="1"/>
  <c r="I41" i="269"/>
  <c r="J41" i="269" s="1"/>
  <c r="N342" i="324"/>
  <c r="I11" i="268"/>
  <c r="J11" i="268" s="1"/>
  <c r="I15" i="268"/>
  <c r="J15" i="268" s="1"/>
  <c r="I286" i="324"/>
  <c r="I34" i="268" s="1"/>
  <c r="J34" i="268" s="1"/>
  <c r="I297" i="324"/>
  <c r="I35" i="268" s="1"/>
  <c r="J35" i="268" s="1"/>
  <c r="H28" i="174"/>
  <c r="I83" i="323"/>
  <c r="J83" i="323" s="1"/>
  <c r="I61" i="323"/>
  <c r="J61" i="323" s="1"/>
  <c r="E339" i="323"/>
  <c r="S340" i="323"/>
  <c r="E33" i="241"/>
  <c r="I38" i="241"/>
  <c r="J38" i="241" s="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I8" i="268"/>
  <c r="J8" i="268" s="1"/>
  <c r="D84" i="318"/>
  <c r="H102" i="318"/>
  <c r="J16" i="180"/>
  <c r="I96" i="330"/>
  <c r="J96" i="330" s="1"/>
  <c r="I103" i="330"/>
  <c r="J103" i="330" s="1"/>
  <c r="I118" i="330"/>
  <c r="J118" i="330" s="1"/>
  <c r="C341" i="324"/>
  <c r="F341" i="324"/>
  <c r="K172" i="324"/>
  <c r="J297" i="324"/>
  <c r="G7" i="333"/>
  <c r="G50" i="333"/>
  <c r="I52" i="326"/>
  <c r="J52" i="326" s="1"/>
  <c r="I23" i="181"/>
  <c r="J23" i="181" s="1"/>
  <c r="G8" i="180"/>
  <c r="G9" i="180" s="1"/>
  <c r="C29" i="172"/>
  <c r="I6" i="323"/>
  <c r="J6" i="323" s="1"/>
  <c r="G6" i="272"/>
  <c r="F7" i="272"/>
  <c r="D7" i="272"/>
  <c r="G85" i="330"/>
  <c r="A39" i="323"/>
  <c r="A83" i="323"/>
  <c r="A127" i="323"/>
  <c r="I308" i="324"/>
  <c r="J308" i="324" s="1"/>
  <c r="A33" i="268"/>
  <c r="A29" i="268"/>
  <c r="A25" i="268"/>
  <c r="F7" i="325"/>
  <c r="F76" i="325" s="1"/>
  <c r="I17" i="180"/>
  <c r="H7" i="333"/>
  <c r="A1" i="328"/>
  <c r="A1" i="331"/>
  <c r="B8" i="331"/>
  <c r="P66" i="317"/>
  <c r="J66" i="317"/>
  <c r="D11" i="241"/>
  <c r="D16" i="330"/>
  <c r="G34" i="241"/>
  <c r="H25" i="241"/>
  <c r="I25" i="241" s="1"/>
  <c r="J25" i="241" s="1"/>
  <c r="I66" i="330"/>
  <c r="J66" i="330" s="1"/>
  <c r="K7" i="241"/>
  <c r="K6" i="330"/>
  <c r="E6" i="272"/>
  <c r="E7" i="241"/>
  <c r="E6" i="241" s="1"/>
  <c r="E6" i="330"/>
  <c r="G19" i="241"/>
  <c r="H75" i="330"/>
  <c r="C21" i="268"/>
  <c r="B12" i="100"/>
  <c r="O3" i="317" s="1"/>
  <c r="B81" i="100"/>
  <c r="A31" i="268"/>
  <c r="A61" i="323"/>
  <c r="A27" i="268"/>
  <c r="A62" i="324"/>
  <c r="B4" i="100"/>
  <c r="B101" i="100" s="1"/>
  <c r="A1" i="172" s="1"/>
  <c r="F8" i="334"/>
  <c r="G8" i="334" s="1"/>
  <c r="G9" i="334"/>
  <c r="F31" i="334"/>
  <c r="F25" i="334"/>
  <c r="G25" i="334" s="1"/>
  <c r="F41" i="334"/>
  <c r="G41" i="334" s="1"/>
  <c r="G39" i="334"/>
  <c r="G45" i="334"/>
  <c r="F16" i="334"/>
  <c r="G16" i="334" s="1"/>
  <c r="F22" i="334"/>
  <c r="G22" i="334" s="1"/>
  <c r="G7" i="242" l="1"/>
  <c r="D106" i="318"/>
  <c r="C28" i="269"/>
  <c r="D28" i="269"/>
  <c r="I37" i="181"/>
  <c r="J37" i="181" s="1"/>
  <c r="E107" i="330"/>
  <c r="I49" i="330"/>
  <c r="J49" i="330" s="1"/>
  <c r="I47" i="326"/>
  <c r="J47" i="326" s="1"/>
  <c r="I19" i="326"/>
  <c r="J19" i="326" s="1"/>
  <c r="I43" i="242"/>
  <c r="J43" i="242" s="1"/>
  <c r="I15" i="242"/>
  <c r="J15" i="242" s="1"/>
  <c r="D39" i="272"/>
  <c r="I38" i="269"/>
  <c r="J38" i="269" s="1"/>
  <c r="K38" i="270"/>
  <c r="I52" i="270"/>
  <c r="J52" i="270" s="1"/>
  <c r="I8" i="325"/>
  <c r="J8" i="325" s="1"/>
  <c r="F31" i="183"/>
  <c r="K31" i="183"/>
  <c r="H39" i="181"/>
  <c r="H43" i="181" s="1"/>
  <c r="H45" i="181" s="1"/>
  <c r="I31" i="272"/>
  <c r="J31" i="272" s="1"/>
  <c r="Q340" i="323"/>
  <c r="D11" i="267"/>
  <c r="C7" i="242"/>
  <c r="C76" i="242" s="1"/>
  <c r="K7" i="326"/>
  <c r="K76" i="326" s="1"/>
  <c r="I43" i="326"/>
  <c r="J43" i="326" s="1"/>
  <c r="I15" i="326"/>
  <c r="J15" i="326" s="1"/>
  <c r="I68" i="242"/>
  <c r="J68" i="242" s="1"/>
  <c r="I28" i="242"/>
  <c r="J28" i="242" s="1"/>
  <c r="I11" i="242"/>
  <c r="J11" i="242" s="1"/>
  <c r="F7" i="242"/>
  <c r="F76" i="242" s="1"/>
  <c r="I78" i="333"/>
  <c r="J78" i="333" s="1"/>
  <c r="G39" i="177"/>
  <c r="G41" i="177" s="1"/>
  <c r="F46" i="267" s="1"/>
  <c r="F63" i="268"/>
  <c r="H15" i="267"/>
  <c r="I15" i="267" s="1"/>
  <c r="H14" i="267"/>
  <c r="I14" i="267" s="1"/>
  <c r="K39" i="272"/>
  <c r="O66" i="317"/>
  <c r="F16" i="330"/>
  <c r="C20" i="241"/>
  <c r="E43" i="241"/>
  <c r="H19" i="241"/>
  <c r="E53" i="330"/>
  <c r="E40" i="241"/>
  <c r="G45" i="241"/>
  <c r="C6" i="330"/>
  <c r="E66" i="317"/>
  <c r="C49" i="318"/>
  <c r="I30" i="270"/>
  <c r="J30" i="270" s="1"/>
  <c r="I27" i="270"/>
  <c r="J27" i="270" s="1"/>
  <c r="F69" i="270"/>
  <c r="D69" i="270"/>
  <c r="G69" i="270"/>
  <c r="C29" i="267"/>
  <c r="F39" i="177"/>
  <c r="I35" i="272"/>
  <c r="J35" i="272" s="1"/>
  <c r="H16" i="267"/>
  <c r="I16" i="267" s="1"/>
  <c r="H12" i="267"/>
  <c r="I12" i="267" s="1"/>
  <c r="E31" i="318"/>
  <c r="K47" i="269"/>
  <c r="G49" i="174"/>
  <c r="E7" i="174"/>
  <c r="D122" i="330"/>
  <c r="I50" i="326"/>
  <c r="J50" i="326" s="1"/>
  <c r="K7" i="242"/>
  <c r="F7" i="326"/>
  <c r="E7" i="326"/>
  <c r="E76" i="326" s="1"/>
  <c r="E7" i="242"/>
  <c r="E76" i="242" s="1"/>
  <c r="D7" i="326"/>
  <c r="D76" i="333"/>
  <c r="I19" i="241"/>
  <c r="J19" i="241" s="1"/>
  <c r="E171" i="323"/>
  <c r="D10" i="241"/>
  <c r="J319" i="324"/>
  <c r="K15" i="173"/>
  <c r="J52" i="267" s="1"/>
  <c r="F85" i="330"/>
  <c r="G106" i="318"/>
  <c r="I78" i="326"/>
  <c r="J78" i="326" s="1"/>
  <c r="F49" i="174"/>
  <c r="F10" i="174" s="1"/>
  <c r="H31" i="183"/>
  <c r="I37" i="272"/>
  <c r="J37" i="272" s="1"/>
  <c r="D49" i="318"/>
  <c r="E84" i="318"/>
  <c r="I8" i="270"/>
  <c r="J8" i="270" s="1"/>
  <c r="C30" i="172"/>
  <c r="K49" i="318"/>
  <c r="K50" i="318" s="1"/>
  <c r="J275" i="324"/>
  <c r="D36" i="267"/>
  <c r="F52" i="174"/>
  <c r="D38" i="267"/>
  <c r="E41" i="178"/>
  <c r="C45" i="241"/>
  <c r="C43" i="241" s="1"/>
  <c r="C122" i="330"/>
  <c r="K76" i="242"/>
  <c r="F76" i="326"/>
  <c r="D76" i="326"/>
  <c r="G6" i="268"/>
  <c r="I6" i="268" s="1"/>
  <c r="J6" i="268" s="1"/>
  <c r="I7" i="324"/>
  <c r="J7" i="324" s="1"/>
  <c r="G10" i="268"/>
  <c r="I51" i="324"/>
  <c r="J51" i="324" s="1"/>
  <c r="H13" i="268"/>
  <c r="I13" i="268" s="1"/>
  <c r="J13" i="268" s="1"/>
  <c r="I84" i="324"/>
  <c r="J84" i="324" s="1"/>
  <c r="G14" i="268"/>
  <c r="I14" i="268" s="1"/>
  <c r="J14" i="268" s="1"/>
  <c r="I95" i="324"/>
  <c r="J95" i="324" s="1"/>
  <c r="H17" i="268"/>
  <c r="I17" i="268" s="1"/>
  <c r="J17" i="268" s="1"/>
  <c r="I128" i="324"/>
  <c r="J128" i="324" s="1"/>
  <c r="G18" i="268"/>
  <c r="I18" i="268" s="1"/>
  <c r="J18" i="268" s="1"/>
  <c r="I139" i="324"/>
  <c r="J139" i="324" s="1"/>
  <c r="I19" i="325"/>
  <c r="J19" i="325" s="1"/>
  <c r="B38" i="172"/>
  <c r="I16" i="180"/>
  <c r="J24" i="270"/>
  <c r="I20" i="270"/>
  <c r="J20" i="270" s="1"/>
  <c r="C38" i="270"/>
  <c r="E26" i="175"/>
  <c r="E27" i="175" s="1"/>
  <c r="I26" i="175"/>
  <c r="I27" i="175" s="1"/>
  <c r="E26" i="178"/>
  <c r="C85" i="330"/>
  <c r="G50" i="242"/>
  <c r="I50" i="242" s="1"/>
  <c r="J50" i="242" s="1"/>
  <c r="I52" i="242"/>
  <c r="J52" i="242" s="1"/>
  <c r="B5" i="100"/>
  <c r="B47" i="100" s="1"/>
  <c r="X38" i="329"/>
  <c r="H20" i="272"/>
  <c r="I20" i="272" s="1"/>
  <c r="J20" i="272" s="1"/>
  <c r="I160" i="323"/>
  <c r="J160" i="323" s="1"/>
  <c r="H16" i="272"/>
  <c r="I16" i="272" s="1"/>
  <c r="J16" i="272" s="1"/>
  <c r="I116" i="323"/>
  <c r="J116" i="323" s="1"/>
  <c r="K106" i="318"/>
  <c r="J286" i="324"/>
  <c r="H16" i="180"/>
  <c r="A185" i="323"/>
  <c r="C339" i="323"/>
  <c r="H7" i="242"/>
  <c r="H76" i="242" s="1"/>
  <c r="E122" i="330"/>
  <c r="E39" i="241"/>
  <c r="H7" i="326"/>
  <c r="F53" i="174"/>
  <c r="F14" i="174" s="1"/>
  <c r="I72" i="323"/>
  <c r="J72" i="323" s="1"/>
  <c r="D55" i="174"/>
  <c r="C54" i="182"/>
  <c r="J38" i="267"/>
  <c r="G41" i="178"/>
  <c r="J43" i="267"/>
  <c r="K39" i="177"/>
  <c r="G45" i="267"/>
  <c r="I37" i="177"/>
  <c r="J37" i="177" s="1"/>
  <c r="G42" i="241"/>
  <c r="I42" i="241" s="1"/>
  <c r="J42" i="241" s="1"/>
  <c r="G107" i="330"/>
  <c r="C13" i="241"/>
  <c r="C16" i="330"/>
  <c r="C72" i="330" s="1"/>
  <c r="C150" i="330" s="1"/>
  <c r="H52" i="325"/>
  <c r="I78" i="325"/>
  <c r="J78" i="325" s="1"/>
  <c r="C43" i="267"/>
  <c r="D39" i="177"/>
  <c r="D41" i="177" s="1"/>
  <c r="C46" i="267" s="1"/>
  <c r="I306" i="323"/>
  <c r="J306" i="323" s="1"/>
  <c r="G36" i="272"/>
  <c r="I36" i="272" s="1"/>
  <c r="J36" i="272" s="1"/>
  <c r="H24" i="272"/>
  <c r="E106" i="318"/>
  <c r="K69" i="270"/>
  <c r="I59" i="270"/>
  <c r="F11" i="174"/>
  <c r="H11" i="174"/>
  <c r="F28" i="174"/>
  <c r="I11" i="325"/>
  <c r="J11" i="325" s="1"/>
  <c r="I29" i="183"/>
  <c r="J29" i="183" s="1"/>
  <c r="C39" i="181"/>
  <c r="C43" i="181" s="1"/>
  <c r="C45" i="181" s="1"/>
  <c r="E39" i="181"/>
  <c r="E43" i="181" s="1"/>
  <c r="E45" i="181" s="1"/>
  <c r="K39" i="181"/>
  <c r="K43" i="181" s="1"/>
  <c r="K45" i="181" s="1"/>
  <c r="E63" i="268"/>
  <c r="I33" i="272"/>
  <c r="J33" i="272" s="1"/>
  <c r="B99" i="100"/>
  <c r="I20" i="268"/>
  <c r="J20" i="268" s="1"/>
  <c r="I328" i="323"/>
  <c r="J328" i="323" s="1"/>
  <c r="I284" i="323"/>
  <c r="J284" i="323" s="1"/>
  <c r="I240" i="323"/>
  <c r="J240" i="323" s="1"/>
  <c r="E7" i="333"/>
  <c r="I68" i="333"/>
  <c r="J68" i="333" s="1"/>
  <c r="M340" i="323"/>
  <c r="O340" i="323"/>
  <c r="W340" i="323"/>
  <c r="E33" i="267"/>
  <c r="C18" i="267"/>
  <c r="C19" i="267" s="1"/>
  <c r="G18" i="267"/>
  <c r="E28" i="334"/>
  <c r="P55" i="317"/>
  <c r="C102" i="318"/>
  <c r="C104" i="318" s="1"/>
  <c r="I67" i="318"/>
  <c r="J67" i="318" s="1"/>
  <c r="C47" i="269"/>
  <c r="I29" i="272"/>
  <c r="J29" i="272" s="1"/>
  <c r="V340" i="323"/>
  <c r="J33" i="267"/>
  <c r="C39" i="177"/>
  <c r="C41" i="177" s="1"/>
  <c r="B46" i="267" s="1"/>
  <c r="B2" i="100"/>
  <c r="A15" i="175" s="1"/>
  <c r="H17" i="267"/>
  <c r="I17" i="267" s="1"/>
  <c r="A8" i="268"/>
  <c r="G28" i="269"/>
  <c r="K53" i="317"/>
  <c r="K55" i="317" s="1"/>
  <c r="K67" i="317" s="1"/>
  <c r="C49" i="269"/>
  <c r="E15" i="318"/>
  <c r="A38" i="334"/>
  <c r="A38" i="269"/>
  <c r="F28" i="334"/>
  <c r="G28" i="334" s="1"/>
  <c r="I16" i="269"/>
  <c r="J16" i="269" s="1"/>
  <c r="I41" i="270"/>
  <c r="J41" i="270" s="1"/>
  <c r="G76" i="326"/>
  <c r="G76" i="333"/>
  <c r="C106" i="318"/>
  <c r="J231" i="324"/>
  <c r="G66" i="317"/>
  <c r="F7" i="174"/>
  <c r="K102" i="318"/>
  <c r="K104" i="318" s="1"/>
  <c r="K105" i="318" s="1"/>
  <c r="I24" i="268"/>
  <c r="J24" i="268" s="1"/>
  <c r="D102" i="318"/>
  <c r="D104" i="318" s="1"/>
  <c r="L66" i="317"/>
  <c r="F26" i="174"/>
  <c r="F102" i="318"/>
  <c r="D47" i="269"/>
  <c r="A41" i="334"/>
  <c r="A41" i="269"/>
  <c r="G26" i="178"/>
  <c r="H39" i="174" s="1"/>
  <c r="E47" i="318"/>
  <c r="E39" i="182"/>
  <c r="E43" i="182" s="1"/>
  <c r="E45" i="182" s="1"/>
  <c r="E47" i="182" s="1"/>
  <c r="E49" i="182" s="1"/>
  <c r="E54" i="182"/>
  <c r="B37" i="267"/>
  <c r="C26" i="178"/>
  <c r="D39" i="174" s="1"/>
  <c r="B39" i="267"/>
  <c r="C41" i="178"/>
  <c r="C38" i="267"/>
  <c r="E53" i="174"/>
  <c r="E14" i="174" s="1"/>
  <c r="C40" i="267"/>
  <c r="E49" i="174"/>
  <c r="G44" i="267"/>
  <c r="I28" i="177"/>
  <c r="J28" i="177" s="1"/>
  <c r="C69" i="270"/>
  <c r="C71" i="270" s="1"/>
  <c r="J24" i="238"/>
  <c r="H26" i="175"/>
  <c r="H27" i="175" s="1"/>
  <c r="F13" i="174"/>
  <c r="H17" i="174"/>
  <c r="G7" i="325"/>
  <c r="I22" i="325"/>
  <c r="J22" i="325" s="1"/>
  <c r="C31" i="183"/>
  <c r="G39" i="181"/>
  <c r="G43" i="181" s="1"/>
  <c r="O342" i="324"/>
  <c r="V342" i="324"/>
  <c r="W342" i="324"/>
  <c r="I11" i="272"/>
  <c r="J11" i="272" s="1"/>
  <c r="K6" i="272"/>
  <c r="K171" i="323"/>
  <c r="K341" i="323" s="1"/>
  <c r="I94" i="323"/>
  <c r="J94" i="323" s="1"/>
  <c r="G14" i="272"/>
  <c r="I14" i="272" s="1"/>
  <c r="J14" i="272" s="1"/>
  <c r="C33" i="267"/>
  <c r="D40" i="241"/>
  <c r="D107" i="330"/>
  <c r="K36" i="241"/>
  <c r="K33" i="241" s="1"/>
  <c r="K85" i="330"/>
  <c r="K18" i="241"/>
  <c r="K38" i="330"/>
  <c r="K72" i="330" s="1"/>
  <c r="G19" i="272"/>
  <c r="I19" i="272" s="1"/>
  <c r="J19" i="272" s="1"/>
  <c r="I149" i="323"/>
  <c r="J149" i="323" s="1"/>
  <c r="G17" i="272"/>
  <c r="I17" i="272" s="1"/>
  <c r="J17" i="272" s="1"/>
  <c r="I127" i="323"/>
  <c r="J127" i="323" s="1"/>
  <c r="G15" i="272"/>
  <c r="I15" i="272" s="1"/>
  <c r="J15" i="272" s="1"/>
  <c r="I105" i="323"/>
  <c r="J105" i="323" s="1"/>
  <c r="E74" i="268"/>
  <c r="D29" i="267"/>
  <c r="D33" i="267" s="1"/>
  <c r="I262" i="323"/>
  <c r="J262" i="323" s="1"/>
  <c r="G32" i="272"/>
  <c r="I32" i="272" s="1"/>
  <c r="J32" i="272" s="1"/>
  <c r="I30" i="272"/>
  <c r="J30" i="272" s="1"/>
  <c r="H28" i="272"/>
  <c r="I28" i="272" s="1"/>
  <c r="J28" i="272" s="1"/>
  <c r="I218" i="323"/>
  <c r="J218" i="323" s="1"/>
  <c r="I14" i="241"/>
  <c r="J14" i="241" s="1"/>
  <c r="E85" i="330"/>
  <c r="G34" i="272"/>
  <c r="I34" i="272" s="1"/>
  <c r="J34" i="272" s="1"/>
  <c r="G38" i="272"/>
  <c r="I38" i="272" s="1"/>
  <c r="J38" i="272" s="1"/>
  <c r="C74" i="268"/>
  <c r="B29" i="267"/>
  <c r="B33" i="267" s="1"/>
  <c r="E76" i="333"/>
  <c r="P340" i="323"/>
  <c r="R340" i="323"/>
  <c r="B18" i="267"/>
  <c r="B19" i="267" s="1"/>
  <c r="D18" i="267"/>
  <c r="D19" i="267" s="1"/>
  <c r="D20" i="267" s="1"/>
  <c r="D23" i="267" s="1"/>
  <c r="D25" i="267" s="1"/>
  <c r="F18" i="267"/>
  <c r="F19" i="267" s="1"/>
  <c r="J18" i="267"/>
  <c r="J19" i="267" s="1"/>
  <c r="G16" i="330"/>
  <c r="F7" i="333"/>
  <c r="F76" i="333" s="1"/>
  <c r="I64" i="333"/>
  <c r="J64" i="333" s="1"/>
  <c r="I72" i="333"/>
  <c r="J72" i="333" s="1"/>
  <c r="C28" i="334"/>
  <c r="C47" i="334"/>
  <c r="E47" i="334"/>
  <c r="E49" i="334" s="1"/>
  <c r="F38" i="334"/>
  <c r="G38" i="334" s="1"/>
  <c r="H13" i="174"/>
  <c r="I70" i="268"/>
  <c r="J70" i="268" s="1"/>
  <c r="I35" i="241"/>
  <c r="J35" i="241" s="1"/>
  <c r="E49" i="318"/>
  <c r="E104" i="318" s="1"/>
  <c r="E39" i="177"/>
  <c r="E41" i="177" s="1"/>
  <c r="D46" i="267" s="1"/>
  <c r="E341" i="324"/>
  <c r="C63" i="268"/>
  <c r="F47" i="269"/>
  <c r="I31" i="241"/>
  <c r="J31" i="241" s="1"/>
  <c r="I7" i="242"/>
  <c r="J7" i="242" s="1"/>
  <c r="G76" i="325"/>
  <c r="H15" i="180"/>
  <c r="I15" i="180" s="1"/>
  <c r="J15" i="180"/>
  <c r="J55" i="317"/>
  <c r="J67" i="317" s="1"/>
  <c r="I66" i="317"/>
  <c r="E50" i="318"/>
  <c r="D47" i="318"/>
  <c r="D15" i="318"/>
  <c r="K28" i="269"/>
  <c r="K49" i="269" s="1"/>
  <c r="E38" i="270"/>
  <c r="D7" i="174"/>
  <c r="C7" i="325"/>
  <c r="C76" i="325" s="1"/>
  <c r="H7" i="325"/>
  <c r="K7" i="325"/>
  <c r="K76" i="325" s="1"/>
  <c r="K71" i="270"/>
  <c r="Q55" i="317"/>
  <c r="O55" i="317"/>
  <c r="O67" i="317" s="1"/>
  <c r="J20" i="267"/>
  <c r="J23" i="267" s="1"/>
  <c r="J25" i="267" s="1"/>
  <c r="E341" i="323"/>
  <c r="I32" i="268"/>
  <c r="J32" i="268" s="1"/>
  <c r="I55" i="317"/>
  <c r="I67" i="317" s="1"/>
  <c r="J330" i="324"/>
  <c r="I30" i="268"/>
  <c r="J30" i="268" s="1"/>
  <c r="H66" i="317"/>
  <c r="M55" i="317"/>
  <c r="L55" i="317"/>
  <c r="L67" i="317" s="1"/>
  <c r="D31" i="318"/>
  <c r="G102" i="318"/>
  <c r="I102" i="318" s="1"/>
  <c r="J102" i="318" s="1"/>
  <c r="F106" i="318"/>
  <c r="E47" i="269"/>
  <c r="A44" i="269"/>
  <c r="E69" i="270"/>
  <c r="E71" i="270" s="1"/>
  <c r="F17" i="174"/>
  <c r="D7" i="325"/>
  <c r="D76" i="325" s="1"/>
  <c r="E7" i="325"/>
  <c r="I43" i="325"/>
  <c r="J43" i="325" s="1"/>
  <c r="I72" i="325"/>
  <c r="J72" i="325" s="1"/>
  <c r="I64" i="325"/>
  <c r="J64" i="325" s="1"/>
  <c r="I47" i="325"/>
  <c r="J47" i="325" s="1"/>
  <c r="I28" i="325"/>
  <c r="J28" i="325" s="1"/>
  <c r="I16" i="183"/>
  <c r="C39" i="272"/>
  <c r="I12" i="272"/>
  <c r="J12" i="272" s="1"/>
  <c r="N340" i="323"/>
  <c r="U340" i="323"/>
  <c r="E21" i="272"/>
  <c r="I13" i="272"/>
  <c r="J13" i="272" s="1"/>
  <c r="H31" i="267"/>
  <c r="I31" i="267" s="1"/>
  <c r="C33" i="241"/>
  <c r="H85" i="330"/>
  <c r="I85" i="330" s="1"/>
  <c r="J85" i="330" s="1"/>
  <c r="F24" i="238"/>
  <c r="H45" i="267"/>
  <c r="I45" i="267" s="1"/>
  <c r="B3" i="100"/>
  <c r="C77" i="172" s="1"/>
  <c r="C10" i="241"/>
  <c r="G339" i="323"/>
  <c r="C7" i="333"/>
  <c r="C76" i="333" s="1"/>
  <c r="I8" i="333"/>
  <c r="J8" i="333" s="1"/>
  <c r="K7" i="333"/>
  <c r="K76" i="333" s="1"/>
  <c r="I11" i="333"/>
  <c r="J11" i="333" s="1"/>
  <c r="I15" i="333"/>
  <c r="J15" i="333" s="1"/>
  <c r="I19" i="333"/>
  <c r="J19" i="333" s="1"/>
  <c r="I22" i="333"/>
  <c r="J22" i="333" s="1"/>
  <c r="I28" i="333"/>
  <c r="J28" i="333" s="1"/>
  <c r="I43" i="333"/>
  <c r="J43" i="333" s="1"/>
  <c r="I47" i="333"/>
  <c r="J47" i="333" s="1"/>
  <c r="D28" i="334"/>
  <c r="D47" i="334"/>
  <c r="F44" i="334"/>
  <c r="G44" i="334" s="1"/>
  <c r="F53" i="330"/>
  <c r="L342" i="324"/>
  <c r="I36" i="268"/>
  <c r="J36" i="268" s="1"/>
  <c r="I12" i="268"/>
  <c r="J12" i="268" s="1"/>
  <c r="I19" i="268"/>
  <c r="J19" i="268" s="1"/>
  <c r="P342" i="324"/>
  <c r="T342" i="324"/>
  <c r="K40" i="268"/>
  <c r="H46" i="174" s="1"/>
  <c r="H8" i="174" s="1"/>
  <c r="K341" i="324"/>
  <c r="K343" i="324" s="1"/>
  <c r="F21" i="268"/>
  <c r="H26" i="268"/>
  <c r="I198" i="324"/>
  <c r="D53" i="174"/>
  <c r="D14" i="174" s="1"/>
  <c r="G53" i="174"/>
  <c r="G14" i="174" s="1"/>
  <c r="D26" i="178"/>
  <c r="E39" i="174" s="1"/>
  <c r="C39" i="268"/>
  <c r="C40" i="268" s="1"/>
  <c r="B28" i="267" s="1"/>
  <c r="E29" i="241"/>
  <c r="E55" i="174"/>
  <c r="E17" i="174" s="1"/>
  <c r="D39" i="182"/>
  <c r="D43" i="182" s="1"/>
  <c r="D45" i="182" s="1"/>
  <c r="D47" i="182" s="1"/>
  <c r="D49" i="182" s="1"/>
  <c r="J17" i="180"/>
  <c r="H55" i="317"/>
  <c r="E39" i="268"/>
  <c r="F26" i="178"/>
  <c r="G39" i="174" s="1"/>
  <c r="G52" i="174"/>
  <c r="G341" i="324"/>
  <c r="I187" i="324"/>
  <c r="I25" i="268" s="1"/>
  <c r="J25" i="268" s="1"/>
  <c r="I40" i="324"/>
  <c r="J40" i="324" s="1"/>
  <c r="G63" i="268"/>
  <c r="G43" i="241"/>
  <c r="F171" i="323"/>
  <c r="I64" i="330"/>
  <c r="J64" i="330" s="1"/>
  <c r="G54" i="182"/>
  <c r="G171" i="323"/>
  <c r="D10" i="174"/>
  <c r="C171" i="323"/>
  <c r="C341" i="323" s="1"/>
  <c r="C29" i="241"/>
  <c r="C16" i="241"/>
  <c r="C6" i="241"/>
  <c r="C26" i="241" s="1"/>
  <c r="B11" i="267"/>
  <c r="B20" i="267" s="1"/>
  <c r="B23" i="267" s="1"/>
  <c r="B25" i="267" s="1"/>
  <c r="D27" i="174"/>
  <c r="D26" i="174"/>
  <c r="D17" i="174"/>
  <c r="D28" i="174"/>
  <c r="C39" i="182"/>
  <c r="C43" i="182" s="1"/>
  <c r="C45" i="182" s="1"/>
  <c r="C47" i="182" s="1"/>
  <c r="C49" i="182" s="1"/>
  <c r="I62" i="270"/>
  <c r="J62" i="270" s="1"/>
  <c r="I43" i="268"/>
  <c r="J43" i="268" s="1"/>
  <c r="G55" i="317"/>
  <c r="G67" i="317" s="1"/>
  <c r="H10" i="174"/>
  <c r="F41" i="178"/>
  <c r="G53" i="330"/>
  <c r="K6" i="241"/>
  <c r="F33" i="241"/>
  <c r="H16" i="330"/>
  <c r="I207" i="323"/>
  <c r="J207" i="323" s="1"/>
  <c r="I196" i="323"/>
  <c r="J196" i="323" s="1"/>
  <c r="H26" i="174"/>
  <c r="F55" i="317"/>
  <c r="F67" i="317" s="1"/>
  <c r="N22" i="317"/>
  <c r="N34" i="317" s="1"/>
  <c r="E28" i="269"/>
  <c r="F28" i="269"/>
  <c r="F49" i="269" s="1"/>
  <c r="G31" i="334"/>
  <c r="F7" i="180"/>
  <c r="F8" i="180" s="1"/>
  <c r="G45" i="174"/>
  <c r="G7" i="174" s="1"/>
  <c r="I37" i="182"/>
  <c r="J37" i="182" s="1"/>
  <c r="E18" i="267"/>
  <c r="E19" i="267" s="1"/>
  <c r="E20" i="241"/>
  <c r="G6" i="241"/>
  <c r="K20" i="241"/>
  <c r="I54" i="330"/>
  <c r="J54" i="330" s="1"/>
  <c r="I9" i="241"/>
  <c r="J9" i="241" s="1"/>
  <c r="H45" i="174"/>
  <c r="H7" i="174" s="1"/>
  <c r="I34" i="241"/>
  <c r="J34" i="241" s="1"/>
  <c r="I112" i="330"/>
  <c r="J112" i="330" s="1"/>
  <c r="I123" i="330"/>
  <c r="J123" i="330" s="1"/>
  <c r="F38" i="330"/>
  <c r="F10" i="241"/>
  <c r="K29" i="241"/>
  <c r="G29" i="241"/>
  <c r="I24" i="241"/>
  <c r="J24" i="241" s="1"/>
  <c r="G38" i="330"/>
  <c r="I60" i="330"/>
  <c r="J60" i="330" s="1"/>
  <c r="K107" i="330"/>
  <c r="K141" i="330" s="1"/>
  <c r="I43" i="330"/>
  <c r="J43" i="330" s="1"/>
  <c r="I22" i="241"/>
  <c r="J22" i="241" s="1"/>
  <c r="E39" i="272"/>
  <c r="K21" i="272"/>
  <c r="K40" i="272" s="1"/>
  <c r="K41" i="177"/>
  <c r="J46" i="267" s="1"/>
  <c r="E55" i="317"/>
  <c r="E67" i="317" s="1"/>
  <c r="C55" i="317"/>
  <c r="C57" i="317" s="1"/>
  <c r="D56" i="317" s="1"/>
  <c r="H69" i="270"/>
  <c r="I8" i="269"/>
  <c r="I31" i="269"/>
  <c r="J31" i="269" s="1"/>
  <c r="H28" i="269"/>
  <c r="H47" i="269"/>
  <c r="G11" i="174"/>
  <c r="I47" i="268"/>
  <c r="J47" i="268" s="1"/>
  <c r="F11" i="267"/>
  <c r="H25" i="272"/>
  <c r="I25" i="272" s="1"/>
  <c r="J25" i="272" s="1"/>
  <c r="I86" i="330"/>
  <c r="J86" i="330" s="1"/>
  <c r="G11" i="267"/>
  <c r="G122" i="330"/>
  <c r="F26" i="175"/>
  <c r="F27" i="175" s="1"/>
  <c r="E76" i="325"/>
  <c r="H106" i="318"/>
  <c r="I46" i="318"/>
  <c r="J46" i="318" s="1"/>
  <c r="H49" i="318"/>
  <c r="H104" i="318" s="1"/>
  <c r="F49" i="318"/>
  <c r="F104" i="318" s="1"/>
  <c r="G49" i="318"/>
  <c r="I30" i="318"/>
  <c r="J30" i="318" s="1"/>
  <c r="D55" i="317"/>
  <c r="H7" i="267"/>
  <c r="I7" i="267" s="1"/>
  <c r="I23" i="182"/>
  <c r="J23" i="182" s="1"/>
  <c r="H39" i="182"/>
  <c r="H43" i="182" s="1"/>
  <c r="H45" i="182" s="1"/>
  <c r="H47" i="182" s="1"/>
  <c r="H49" i="182" s="1"/>
  <c r="G47" i="269"/>
  <c r="G49" i="269" s="1"/>
  <c r="D49" i="269"/>
  <c r="I44" i="269"/>
  <c r="I47" i="269" s="1"/>
  <c r="F38" i="270"/>
  <c r="F71" i="270" s="1"/>
  <c r="H6" i="180"/>
  <c r="I6" i="180" s="1"/>
  <c r="I24" i="272"/>
  <c r="J24" i="272" s="1"/>
  <c r="I46" i="241"/>
  <c r="J46" i="241" s="1"/>
  <c r="G75" i="330"/>
  <c r="I75" i="330" s="1"/>
  <c r="J75" i="330" s="1"/>
  <c r="H39" i="177"/>
  <c r="H41" i="177" s="1"/>
  <c r="G46" i="267" s="1"/>
  <c r="H63" i="268"/>
  <c r="G33" i="267"/>
  <c r="H30" i="267"/>
  <c r="I30" i="267" s="1"/>
  <c r="G39" i="268"/>
  <c r="J187" i="324"/>
  <c r="I220" i="324"/>
  <c r="D341" i="324"/>
  <c r="F39" i="268"/>
  <c r="G39" i="182"/>
  <c r="G43" i="182" s="1"/>
  <c r="G45" i="182" s="1"/>
  <c r="G47" i="182" s="1"/>
  <c r="G49" i="182" s="1"/>
  <c r="F39" i="272"/>
  <c r="G6" i="330"/>
  <c r="I133" i="330"/>
  <c r="J133" i="330" s="1"/>
  <c r="F75" i="330"/>
  <c r="I76" i="330"/>
  <c r="J76" i="330" s="1"/>
  <c r="H122" i="330"/>
  <c r="G39" i="241"/>
  <c r="I40" i="241"/>
  <c r="J40" i="241" s="1"/>
  <c r="I108" i="330"/>
  <c r="J108" i="330" s="1"/>
  <c r="G33" i="241"/>
  <c r="I30" i="241"/>
  <c r="J30" i="241" s="1"/>
  <c r="F43" i="241"/>
  <c r="F122" i="330"/>
  <c r="I57" i="330"/>
  <c r="J57" i="330" s="1"/>
  <c r="H38" i="330"/>
  <c r="I38" i="330" s="1"/>
  <c r="J38" i="330" s="1"/>
  <c r="I8" i="241"/>
  <c r="J8" i="241" s="1"/>
  <c r="F20" i="241"/>
  <c r="F6" i="330"/>
  <c r="A1" i="324"/>
  <c r="A1" i="241"/>
  <c r="I27" i="272"/>
  <c r="J27" i="272" s="1"/>
  <c r="I26" i="272"/>
  <c r="J26" i="272" s="1"/>
  <c r="G26" i="174"/>
  <c r="F39" i="182"/>
  <c r="F43" i="182" s="1"/>
  <c r="F45" i="182" s="1"/>
  <c r="F47" i="182" s="1"/>
  <c r="F49" i="182" s="1"/>
  <c r="E11" i="267"/>
  <c r="I39" i="323"/>
  <c r="J39" i="323" s="1"/>
  <c r="H16" i="241"/>
  <c r="I17" i="241"/>
  <c r="J17" i="241" s="1"/>
  <c r="I39" i="330"/>
  <c r="J39" i="330" s="1"/>
  <c r="I17" i="330"/>
  <c r="J17" i="330" s="1"/>
  <c r="G10" i="174"/>
  <c r="I53" i="268"/>
  <c r="J53" i="268" s="1"/>
  <c r="D50" i="318"/>
  <c r="H38" i="270"/>
  <c r="N47" i="317"/>
  <c r="N53" i="317" s="1"/>
  <c r="N55" i="317" s="1"/>
  <c r="G38" i="270"/>
  <c r="G71" i="270" s="1"/>
  <c r="D38" i="270"/>
  <c r="D71" i="270" s="1"/>
  <c r="H43" i="267"/>
  <c r="I43" i="267" s="1"/>
  <c r="H44" i="267"/>
  <c r="I44" i="267" s="1"/>
  <c r="E21" i="268"/>
  <c r="G172" i="324"/>
  <c r="I172" i="324" s="1"/>
  <c r="J172" i="324" s="1"/>
  <c r="E172" i="324"/>
  <c r="F172" i="324"/>
  <c r="F343" i="324" s="1"/>
  <c r="D39" i="268"/>
  <c r="H29" i="267"/>
  <c r="I29" i="267" s="1"/>
  <c r="F21" i="272"/>
  <c r="I11" i="330"/>
  <c r="J11" i="330" s="1"/>
  <c r="F29" i="241"/>
  <c r="F339" i="323"/>
  <c r="M67" i="317"/>
  <c r="O57" i="317"/>
  <c r="P56" i="317" s="1"/>
  <c r="P57" i="317" s="1"/>
  <c r="Q56" i="317" s="1"/>
  <c r="Q57" i="317" s="1"/>
  <c r="P67" i="317"/>
  <c r="G10" i="180"/>
  <c r="C31" i="172"/>
  <c r="H67" i="317"/>
  <c r="J83" i="318"/>
  <c r="J59" i="270"/>
  <c r="I7" i="333"/>
  <c r="J7" i="333" s="1"/>
  <c r="J253" i="324"/>
  <c r="C141" i="330"/>
  <c r="E11" i="174"/>
  <c r="I8" i="272"/>
  <c r="J8" i="272" s="1"/>
  <c r="I6" i="272"/>
  <c r="J6" i="272" s="1"/>
  <c r="I9" i="272"/>
  <c r="J9" i="272" s="1"/>
  <c r="I17" i="323"/>
  <c r="J17" i="323" s="1"/>
  <c r="C11" i="272"/>
  <c r="C21" i="272" s="1"/>
  <c r="C11" i="267"/>
  <c r="I50" i="323"/>
  <c r="J50" i="323" s="1"/>
  <c r="I28" i="323"/>
  <c r="J28" i="323" s="1"/>
  <c r="J26" i="175"/>
  <c r="J27" i="175" s="1"/>
  <c r="D30" i="241"/>
  <c r="D75" i="330"/>
  <c r="E18" i="241"/>
  <c r="E16" i="241" s="1"/>
  <c r="E38" i="330"/>
  <c r="F40" i="241"/>
  <c r="F39" i="241" s="1"/>
  <c r="F107" i="330"/>
  <c r="H107" i="330"/>
  <c r="C39" i="241"/>
  <c r="I36" i="241"/>
  <c r="J36" i="241" s="1"/>
  <c r="K43" i="241"/>
  <c r="K16" i="241"/>
  <c r="I9" i="268"/>
  <c r="J9" i="268" s="1"/>
  <c r="I10" i="268"/>
  <c r="J10" i="268" s="1"/>
  <c r="I52" i="333"/>
  <c r="J52" i="333" s="1"/>
  <c r="H50" i="333"/>
  <c r="I50" i="333" s="1"/>
  <c r="J50" i="333" s="1"/>
  <c r="F6" i="241"/>
  <c r="G20" i="241"/>
  <c r="I45" i="241"/>
  <c r="J45" i="241" s="1"/>
  <c r="H53" i="330"/>
  <c r="B14" i="100"/>
  <c r="Q3" i="317" s="1"/>
  <c r="C172" i="324"/>
  <c r="C343" i="324" s="1"/>
  <c r="I16" i="268"/>
  <c r="J16" i="268" s="1"/>
  <c r="I18" i="177"/>
  <c r="J18" i="177" s="1"/>
  <c r="I57" i="268"/>
  <c r="J57" i="268" s="1"/>
  <c r="H8" i="267"/>
  <c r="I8" i="267" s="1"/>
  <c r="L21" i="175"/>
  <c r="C79" i="172"/>
  <c r="B79" i="172" s="1"/>
  <c r="D26" i="175"/>
  <c r="D27" i="175" s="1"/>
  <c r="L14" i="175"/>
  <c r="H171" i="323"/>
  <c r="H21" i="241"/>
  <c r="I21" i="241" s="1"/>
  <c r="J21" i="241" s="1"/>
  <c r="G17" i="174"/>
  <c r="H10" i="267"/>
  <c r="I10" i="267" s="1"/>
  <c r="G28" i="174"/>
  <c r="E10" i="174"/>
  <c r="I7" i="268"/>
  <c r="D21" i="268"/>
  <c r="D172" i="324"/>
  <c r="I41" i="241"/>
  <c r="J41" i="241" s="1"/>
  <c r="H39" i="241"/>
  <c r="I32" i="241"/>
  <c r="J32" i="241" s="1"/>
  <c r="H29" i="241"/>
  <c r="I80" i="330"/>
  <c r="J80" i="330" s="1"/>
  <c r="D43" i="241"/>
  <c r="D29" i="241"/>
  <c r="I23" i="241"/>
  <c r="J23" i="241" s="1"/>
  <c r="H6" i="330"/>
  <c r="I7" i="330"/>
  <c r="J7" i="330" s="1"/>
  <c r="G16" i="241"/>
  <c r="D39" i="241"/>
  <c r="H33" i="241"/>
  <c r="I11" i="241"/>
  <c r="J11" i="241" s="1"/>
  <c r="H10" i="241"/>
  <c r="I10" i="241" s="1"/>
  <c r="J10" i="241" s="1"/>
  <c r="E10" i="241"/>
  <c r="E49" i="241"/>
  <c r="K10" i="241"/>
  <c r="I18" i="241"/>
  <c r="J18" i="241" s="1"/>
  <c r="H43" i="241"/>
  <c r="I48" i="241"/>
  <c r="J48" i="241" s="1"/>
  <c r="D33" i="241"/>
  <c r="F16" i="241"/>
  <c r="I44" i="241"/>
  <c r="D16" i="241"/>
  <c r="I7" i="241"/>
  <c r="J7" i="241" s="1"/>
  <c r="H6" i="241"/>
  <c r="D53" i="330"/>
  <c r="D22" i="241"/>
  <c r="D20" i="241" s="1"/>
  <c r="D38" i="330"/>
  <c r="D6" i="330"/>
  <c r="D6" i="241"/>
  <c r="H339" i="323"/>
  <c r="D339" i="323"/>
  <c r="D171" i="323"/>
  <c r="H7" i="272"/>
  <c r="I7" i="272" s="1"/>
  <c r="J7" i="272" s="1"/>
  <c r="D21" i="272"/>
  <c r="D40" i="272" s="1"/>
  <c r="H10" i="272"/>
  <c r="I10" i="272" s="1"/>
  <c r="J10" i="272" s="1"/>
  <c r="E27" i="174"/>
  <c r="A12" i="268"/>
  <c r="A10" i="268"/>
  <c r="B61" i="100"/>
  <c r="A1" i="174" s="1"/>
  <c r="A1" i="177"/>
  <c r="A1" i="267"/>
  <c r="A1" i="323"/>
  <c r="C2" i="173"/>
  <c r="D2" i="182"/>
  <c r="D2" i="270"/>
  <c r="C2" i="334"/>
  <c r="C2" i="272"/>
  <c r="D2" i="326"/>
  <c r="C2" i="323"/>
  <c r="D2" i="241"/>
  <c r="C2" i="324"/>
  <c r="D2" i="174"/>
  <c r="C2" i="177"/>
  <c r="C2" i="182"/>
  <c r="C2" i="181"/>
  <c r="C2" i="325"/>
  <c r="B102" i="100"/>
  <c r="A26" i="172" s="1"/>
  <c r="B2" i="267"/>
  <c r="C2" i="318"/>
  <c r="C2" i="178"/>
  <c r="A1" i="325"/>
  <c r="A1" i="182"/>
  <c r="A1" i="178"/>
  <c r="A1" i="272"/>
  <c r="A1" i="333"/>
  <c r="A1" i="251"/>
  <c r="A1" i="268"/>
  <c r="A1" i="330"/>
  <c r="C2" i="241" l="1"/>
  <c r="C2" i="242"/>
  <c r="C2" i="333"/>
  <c r="C2" i="183"/>
  <c r="C2" i="270"/>
  <c r="C2" i="268"/>
  <c r="A54" i="172"/>
  <c r="A103" i="172" s="1"/>
  <c r="C2" i="269"/>
  <c r="B2" i="180"/>
  <c r="B2" i="172" s="1"/>
  <c r="G43" i="178"/>
  <c r="G54" i="178" s="1"/>
  <c r="E141" i="330"/>
  <c r="K86" i="242"/>
  <c r="H46" i="267"/>
  <c r="I46" i="267" s="1"/>
  <c r="I107" i="330"/>
  <c r="J107" i="330" s="1"/>
  <c r="I39" i="241"/>
  <c r="J39" i="241" s="1"/>
  <c r="I16" i="330"/>
  <c r="J16" i="330" s="1"/>
  <c r="H18" i="267"/>
  <c r="I18" i="267" s="1"/>
  <c r="G19" i="267"/>
  <c r="H19" i="267" s="1"/>
  <c r="I19" i="267" s="1"/>
  <c r="E26" i="241"/>
  <c r="E72" i="330"/>
  <c r="D141" i="330"/>
  <c r="C142" i="330"/>
  <c r="F20" i="267"/>
  <c r="F23" i="267" s="1"/>
  <c r="F25" i="267" s="1"/>
  <c r="I39" i="181"/>
  <c r="J39" i="181" s="1"/>
  <c r="C20" i="267"/>
  <c r="C23" i="267" s="1"/>
  <c r="C25" i="267" s="1"/>
  <c r="J44" i="269"/>
  <c r="G21" i="272"/>
  <c r="F40" i="268"/>
  <c r="F86" i="242" s="1"/>
  <c r="I49" i="318"/>
  <c r="J49" i="318" s="1"/>
  <c r="H11" i="267"/>
  <c r="I11" i="267" s="1"/>
  <c r="D49" i="334"/>
  <c r="I38" i="270"/>
  <c r="C49" i="334"/>
  <c r="D2" i="269"/>
  <c r="D2" i="181"/>
  <c r="C2" i="267"/>
  <c r="D2" i="183"/>
  <c r="I33" i="241"/>
  <c r="J33" i="241" s="1"/>
  <c r="J28" i="267"/>
  <c r="G21" i="268"/>
  <c r="H39" i="272"/>
  <c r="I52" i="325"/>
  <c r="J52" i="325" s="1"/>
  <c r="H50" i="325"/>
  <c r="I50" i="325" s="1"/>
  <c r="J50" i="325" s="1"/>
  <c r="G76" i="242"/>
  <c r="I76" i="242" s="1"/>
  <c r="J76" i="242" s="1"/>
  <c r="F39" i="174"/>
  <c r="E43" i="178"/>
  <c r="E54" i="178" s="1"/>
  <c r="D2" i="323"/>
  <c r="D2" i="242"/>
  <c r="C2" i="317"/>
  <c r="D2" i="325"/>
  <c r="D2" i="318"/>
  <c r="D2" i="333"/>
  <c r="C86" i="242"/>
  <c r="G39" i="272"/>
  <c r="D105" i="318"/>
  <c r="C3" i="334"/>
  <c r="C2" i="326"/>
  <c r="B77" i="172"/>
  <c r="C2" i="330"/>
  <c r="H76" i="325"/>
  <c r="I76" i="325" s="1"/>
  <c r="J76" i="325" s="1"/>
  <c r="H21" i="268"/>
  <c r="O2" i="317"/>
  <c r="D2" i="268"/>
  <c r="C2" i="180"/>
  <c r="D2" i="178"/>
  <c r="A53" i="172"/>
  <c r="A104" i="172" s="1"/>
  <c r="E13" i="174"/>
  <c r="E142" i="330"/>
  <c r="C40" i="272"/>
  <c r="F47" i="334"/>
  <c r="K86" i="268"/>
  <c r="I7" i="325"/>
  <c r="J7" i="325" s="1"/>
  <c r="J38" i="270"/>
  <c r="E49" i="269"/>
  <c r="C43" i="178"/>
  <c r="C54" i="178" s="1"/>
  <c r="H76" i="326"/>
  <c r="I76" i="326" s="1"/>
  <c r="J76" i="326" s="1"/>
  <c r="I7" i="326"/>
  <c r="J7" i="326" s="1"/>
  <c r="E343" i="324"/>
  <c r="D343" i="324"/>
  <c r="I69" i="270"/>
  <c r="I71" i="270" s="1"/>
  <c r="C49" i="241"/>
  <c r="E105" i="318"/>
  <c r="G13" i="174"/>
  <c r="I29" i="241"/>
  <c r="J29" i="241" s="1"/>
  <c r="I339" i="323"/>
  <c r="J339" i="323" s="1"/>
  <c r="G341" i="323"/>
  <c r="A1" i="326"/>
  <c r="A1" i="269"/>
  <c r="A1" i="175"/>
  <c r="E20" i="267"/>
  <c r="E23" i="267" s="1"/>
  <c r="E25" i="267" s="1"/>
  <c r="F9" i="180"/>
  <c r="J8" i="180"/>
  <c r="B30" i="172"/>
  <c r="H8" i="180"/>
  <c r="I8" i="180" s="1"/>
  <c r="G45" i="181"/>
  <c r="I45" i="181" s="1"/>
  <c r="J45" i="181" s="1"/>
  <c r="I43" i="181"/>
  <c r="J43" i="181" s="1"/>
  <c r="A1" i="270"/>
  <c r="A1" i="318"/>
  <c r="A1" i="173"/>
  <c r="A1" i="242"/>
  <c r="A1" i="183"/>
  <c r="G141" i="330"/>
  <c r="G104" i="318"/>
  <c r="I104" i="318" s="1"/>
  <c r="J104" i="318" s="1"/>
  <c r="E40" i="272"/>
  <c r="E2" i="174"/>
  <c r="D2" i="272"/>
  <c r="C2" i="175"/>
  <c r="D2" i="324"/>
  <c r="D2" i="177"/>
  <c r="D2" i="330"/>
  <c r="I31" i="183"/>
  <c r="J31" i="183" s="1"/>
  <c r="J16" i="183"/>
  <c r="D40" i="268"/>
  <c r="D86" i="326" s="1"/>
  <c r="K86" i="326"/>
  <c r="C86" i="326"/>
  <c r="E40" i="268"/>
  <c r="F46" i="174" s="1"/>
  <c r="F8" i="174" s="1"/>
  <c r="J198" i="324"/>
  <c r="I26" i="268"/>
  <c r="J26" i="268" s="1"/>
  <c r="G74" i="268"/>
  <c r="I74" i="268" s="1"/>
  <c r="J74" i="268" s="1"/>
  <c r="D13" i="174"/>
  <c r="D43" i="178"/>
  <c r="D54" i="178" s="1"/>
  <c r="D46" i="174"/>
  <c r="D8" i="174" s="1"/>
  <c r="C86" i="268"/>
  <c r="F341" i="323"/>
  <c r="E26" i="174"/>
  <c r="E28" i="174"/>
  <c r="I171" i="323"/>
  <c r="J171" i="323" s="1"/>
  <c r="F32" i="267"/>
  <c r="I73" i="268"/>
  <c r="J73" i="268" s="1"/>
  <c r="F43" i="178"/>
  <c r="F54" i="178" s="1"/>
  <c r="G40" i="268"/>
  <c r="F28" i="267" s="1"/>
  <c r="I63" i="268"/>
  <c r="J63" i="268" s="1"/>
  <c r="I106" i="318"/>
  <c r="J106" i="318" s="1"/>
  <c r="C50" i="241"/>
  <c r="G72" i="330"/>
  <c r="K142" i="330"/>
  <c r="K49" i="241"/>
  <c r="K26" i="241"/>
  <c r="F72" i="330"/>
  <c r="I39" i="182"/>
  <c r="J39" i="182" s="1"/>
  <c r="I122" i="330"/>
  <c r="J122" i="330" s="1"/>
  <c r="H49" i="269"/>
  <c r="H7" i="180"/>
  <c r="I7" i="180" s="1"/>
  <c r="J7" i="180"/>
  <c r="B29" i="172"/>
  <c r="I53" i="330"/>
  <c r="J53" i="330" s="1"/>
  <c r="H71" i="270"/>
  <c r="D57" i="317"/>
  <c r="E56" i="317" s="1"/>
  <c r="E57" i="317" s="1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N57" i="317" s="1"/>
  <c r="J8" i="269"/>
  <c r="I28" i="269"/>
  <c r="J28" i="269" s="1"/>
  <c r="N66" i="317"/>
  <c r="G49" i="241"/>
  <c r="F86" i="326"/>
  <c r="I28" i="268"/>
  <c r="J220" i="324"/>
  <c r="F86" i="268"/>
  <c r="F40" i="272"/>
  <c r="F141" i="330"/>
  <c r="H20" i="241"/>
  <c r="H26" i="241" s="1"/>
  <c r="F26" i="241"/>
  <c r="H72" i="330"/>
  <c r="I20" i="241"/>
  <c r="H341" i="323"/>
  <c r="A1" i="180"/>
  <c r="G343" i="324"/>
  <c r="F49" i="241"/>
  <c r="N67" i="317"/>
  <c r="E50" i="241"/>
  <c r="H141" i="330"/>
  <c r="C32" i="172"/>
  <c r="G11" i="180"/>
  <c r="J47" i="269"/>
  <c r="F49" i="334"/>
  <c r="G49" i="334" s="1"/>
  <c r="G47" i="334"/>
  <c r="H76" i="333"/>
  <c r="I76" i="333" s="1"/>
  <c r="J76" i="333" s="1"/>
  <c r="J7" i="268"/>
  <c r="I21" i="268"/>
  <c r="D86" i="268"/>
  <c r="D86" i="242"/>
  <c r="C28" i="267"/>
  <c r="E46" i="174"/>
  <c r="E8" i="174" s="1"/>
  <c r="I6" i="330"/>
  <c r="J6" i="330" s="1"/>
  <c r="H49" i="241"/>
  <c r="D49" i="241"/>
  <c r="I16" i="241"/>
  <c r="J16" i="241" s="1"/>
  <c r="G26" i="241"/>
  <c r="I43" i="241"/>
  <c r="J43" i="241" s="1"/>
  <c r="J44" i="241"/>
  <c r="I6" i="241"/>
  <c r="D26" i="241"/>
  <c r="D72" i="330"/>
  <c r="D142" i="330" s="1"/>
  <c r="I39" i="272"/>
  <c r="D341" i="323"/>
  <c r="I21" i="272"/>
  <c r="H21" i="272"/>
  <c r="H40" i="272" s="1"/>
  <c r="G20" i="267"/>
  <c r="A1" i="181"/>
  <c r="A1" i="317"/>
  <c r="A1" i="334"/>
  <c r="A1" i="238"/>
  <c r="G40" i="272" l="1"/>
  <c r="E28" i="267"/>
  <c r="J39" i="272"/>
  <c r="E86" i="268"/>
  <c r="J69" i="270"/>
  <c r="E86" i="242"/>
  <c r="J71" i="270"/>
  <c r="G86" i="242"/>
  <c r="I341" i="323"/>
  <c r="J341" i="323" s="1"/>
  <c r="E86" i="326"/>
  <c r="G142" i="330"/>
  <c r="F10" i="180"/>
  <c r="J9" i="180"/>
  <c r="B31" i="172"/>
  <c r="H9" i="180"/>
  <c r="I9" i="180" s="1"/>
  <c r="D28" i="267"/>
  <c r="I72" i="330"/>
  <c r="J72" i="330" s="1"/>
  <c r="H32" i="267"/>
  <c r="I32" i="267" s="1"/>
  <c r="F33" i="267"/>
  <c r="H33" i="267" s="1"/>
  <c r="I33" i="267" s="1"/>
  <c r="G86" i="268"/>
  <c r="G46" i="174"/>
  <c r="G8" i="174" s="1"/>
  <c r="G86" i="326"/>
  <c r="G50" i="241"/>
  <c r="K50" i="241"/>
  <c r="F142" i="330"/>
  <c r="I141" i="330"/>
  <c r="J141" i="330" s="1"/>
  <c r="I49" i="269"/>
  <c r="J49" i="269" s="1"/>
  <c r="J28" i="268"/>
  <c r="J20" i="241"/>
  <c r="H142" i="330"/>
  <c r="F50" i="241"/>
  <c r="G12" i="180"/>
  <c r="C33" i="172"/>
  <c r="J21" i="268"/>
  <c r="H50" i="241"/>
  <c r="D50" i="241"/>
  <c r="I49" i="241"/>
  <c r="J49" i="241" s="1"/>
  <c r="J6" i="241"/>
  <c r="I26" i="241"/>
  <c r="I40" i="272"/>
  <c r="J40" i="272" s="1"/>
  <c r="J21" i="272"/>
  <c r="G23" i="267"/>
  <c r="H20" i="267"/>
  <c r="I20" i="267" s="1"/>
  <c r="I142" i="330" l="1"/>
  <c r="J142" i="330" s="1"/>
  <c r="F11" i="180"/>
  <c r="F12" i="180" s="1"/>
  <c r="H10" i="180"/>
  <c r="I10" i="180" s="1"/>
  <c r="B32" i="172"/>
  <c r="J10" i="180"/>
  <c r="C34" i="172"/>
  <c r="G13" i="180"/>
  <c r="J26" i="241"/>
  <c r="I50" i="241"/>
  <c r="J50" i="241" s="1"/>
  <c r="G25" i="267"/>
  <c r="H25" i="267" s="1"/>
  <c r="I25" i="267" s="1"/>
  <c r="H23" i="267"/>
  <c r="I23" i="267" s="1"/>
  <c r="B34" i="172" l="1"/>
  <c r="F13" i="180"/>
  <c r="F14" i="180" s="1"/>
  <c r="J12" i="180"/>
  <c r="H12" i="180"/>
  <c r="I12" i="180" s="1"/>
  <c r="B33" i="172"/>
  <c r="H11" i="180"/>
  <c r="I11" i="180" s="1"/>
  <c r="J11" i="180"/>
  <c r="C35" i="172"/>
  <c r="G14" i="180"/>
  <c r="B36" i="172" l="1"/>
  <c r="H14" i="180"/>
  <c r="I14" i="180" s="1"/>
  <c r="J14" i="180"/>
  <c r="B35" i="172"/>
  <c r="J13" i="180"/>
  <c r="H13" i="180"/>
  <c r="I13" i="180" s="1"/>
  <c r="C36" i="172"/>
  <c r="G15" i="180"/>
  <c r="C37" i="172" l="1"/>
  <c r="G16" i="180"/>
  <c r="G17" i="180" l="1"/>
  <c r="C39" i="172" s="1"/>
  <c r="C38" i="172"/>
  <c r="I213" i="324" l="1"/>
  <c r="J213" i="324" s="1"/>
  <c r="H209" i="324"/>
  <c r="H341" i="324" s="1"/>
  <c r="I341" i="324" l="1"/>
  <c r="J341" i="324" s="1"/>
  <c r="H343" i="324"/>
  <c r="I343" i="324" s="1"/>
  <c r="J343" i="324" s="1"/>
  <c r="I209" i="324"/>
  <c r="H27" i="268"/>
  <c r="H39" i="268" s="1"/>
  <c r="H40" i="268" s="1"/>
  <c r="H86" i="242" l="1"/>
  <c r="H86" i="326"/>
  <c r="G28" i="267"/>
  <c r="H28" i="267" s="1"/>
  <c r="I28" i="267" s="1"/>
  <c r="H86" i="268"/>
  <c r="J209" i="324"/>
  <c r="I27" i="268"/>
  <c r="J27" i="268" l="1"/>
  <c r="I39" i="268"/>
  <c r="J39" i="268" l="1"/>
  <c r="I40" i="268"/>
  <c r="J40" i="268" s="1"/>
  <c r="K20" i="175" l="1"/>
  <c r="C81" i="172" s="1"/>
  <c r="B81" i="172" s="1"/>
  <c r="C21" i="175"/>
  <c r="C26" i="175" s="1"/>
  <c r="C27" i="175" s="1"/>
  <c r="K21" i="175" l="1"/>
  <c r="K26" i="175" s="1"/>
  <c r="K27" i="175" s="1"/>
</calcChain>
</file>

<file path=xl/sharedStrings.xml><?xml version="1.0" encoding="utf-8"?>
<sst xmlns="http://schemas.openxmlformats.org/spreadsheetml/2006/main" count="2312" uniqueCount="1374">
  <si>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</si>
  <si>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</si>
  <si>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</si>
  <si>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</si>
  <si>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</si>
  <si>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</si>
  <si>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</si>
  <si>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</si>
  <si>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</si>
  <si>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</si>
  <si>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</si>
  <si>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</si>
  <si>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</si>
  <si>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</si>
  <si>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</si>
  <si>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</si>
  <si>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</si>
  <si>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</si>
  <si>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</si>
  <si>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</si>
  <si>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</si>
  <si>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</si>
  <si>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</si>
  <si>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</si>
  <si>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</si>
  <si>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</si>
  <si>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</si>
  <si>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</si>
  <si>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</si>
  <si>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</si>
  <si>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</si>
  <si>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</si>
  <si>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</si>
  <si>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</si>
  <si>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</si>
  <si>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</si>
  <si>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</si>
  <si>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</si>
  <si>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</si>
  <si>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</si>
  <si>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</si>
  <si>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</si>
  <si>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</si>
  <si>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</si>
  <si>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</si>
  <si>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</si>
  <si>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</si>
  <si>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</si>
  <si>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</si>
  <si>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</si>
  <si>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</si>
  <si>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</si>
  <si>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</si>
  <si>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</si>
  <si>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</si>
  <si>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</si>
  <si>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</si>
  <si>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</si>
  <si>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</si>
  <si>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</si>
  <si>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</si>
  <si>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</si>
  <si>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</si>
  <si>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</si>
  <si>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</si>
  <si>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</si>
  <si>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</si>
  <si>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</si>
  <si>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</si>
  <si>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</si>
  <si>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</si>
  <si>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</si>
  <si>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</si>
  <si>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</si>
  <si>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</si>
  <si>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</si>
  <si>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</si>
  <si>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</si>
  <si>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</si>
  <si>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</si>
  <si>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</si>
  <si>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</si>
  <si>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</si>
  <si>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</si>
  <si>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</si>
  <si>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</si>
  <si>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</si>
  <si>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</si>
  <si>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</si>
  <si>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</si>
  <si>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</si>
  <si>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</si>
  <si>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</si>
  <si>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</si>
  <si>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</si>
  <si>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</si>
  <si>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</si>
  <si>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</si>
  <si>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</si>
  <si>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</si>
  <si>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</si>
  <si>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</si>
  <si>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</si>
  <si>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</si>
  <si>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</si>
  <si>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</si>
  <si>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</si>
  <si>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</si>
  <si>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</si>
  <si>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</si>
  <si>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</si>
  <si>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</si>
  <si>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</si>
  <si>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</si>
  <si>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</si>
  <si>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</si>
  <si>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</si>
  <si>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</si>
  <si>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</si>
  <si>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</si>
  <si>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</si>
  <si>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</si>
  <si>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</si>
  <si>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</si>
  <si>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</si>
  <si>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</si>
  <si>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</si>
  <si>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</si>
  <si>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</si>
  <si>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</si>
  <si>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</si>
  <si>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</si>
  <si>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</si>
  <si>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</si>
  <si>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</si>
  <si>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</si>
  <si>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</si>
  <si>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</si>
  <si>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</si>
  <si>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</si>
  <si>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</si>
  <si>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</si>
  <si>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</si>
  <si>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</si>
  <si>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</si>
  <si>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</si>
  <si>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</si>
  <si>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</si>
  <si>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</si>
  <si>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</si>
  <si>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</si>
  <si>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</si>
  <si>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</si>
  <si>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</si>
  <si>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</si>
  <si>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</si>
  <si>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</si>
  <si>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</si>
  <si>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</si>
  <si>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</si>
  <si>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</si>
  <si>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</si>
  <si>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</si>
  <si>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</si>
  <si>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</si>
  <si>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</si>
  <si>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</si>
  <si>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</si>
  <si>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</si>
  <si>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</si>
  <si>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</si>
  <si>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</si>
  <si>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</si>
  <si>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</si>
  <si>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</si>
  <si>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</si>
  <si>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</si>
  <si>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</si>
  <si>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</si>
  <si>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</si>
  <si>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</si>
  <si>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</si>
  <si>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</si>
  <si>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</si>
  <si>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</si>
  <si>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</si>
  <si>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</si>
  <si>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</si>
  <si>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</si>
  <si>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</si>
  <si>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</si>
  <si>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</si>
  <si>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</si>
  <si>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</si>
  <si>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</si>
  <si>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</si>
  <si>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</si>
  <si>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</si>
  <si>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</si>
  <si>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</si>
  <si>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</si>
  <si>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</si>
  <si>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</si>
  <si>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</si>
  <si>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</si>
  <si>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</si>
  <si>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</si>
  <si>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</si>
  <si>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</si>
  <si>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</si>
  <si>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</si>
  <si>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</si>
  <si>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</si>
  <si>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</si>
  <si>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</si>
  <si>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</si>
  <si>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</si>
  <si>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</si>
  <si>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</si>
  <si>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</si>
  <si>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</si>
  <si>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</si>
  <si>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</si>
  <si>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</si>
  <si>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</si>
  <si>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</si>
  <si>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</si>
  <si>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</si>
  <si>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</si>
  <si>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</si>
  <si>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</si>
  <si>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</si>
  <si>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</si>
  <si>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</si>
  <si>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</si>
  <si>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</si>
  <si>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</si>
  <si>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</si>
  <si>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</si>
  <si>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</si>
  <si>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</si>
  <si>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</si>
  <si>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</si>
  <si>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</si>
  <si>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</si>
  <si>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</si>
  <si>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</si>
  <si>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</si>
  <si>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</si>
  <si>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</si>
  <si>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</si>
  <si>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</si>
  <si>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</si>
  <si>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</si>
  <si>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</si>
  <si>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</si>
  <si>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</si>
  <si>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</si>
  <si>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</si>
  <si>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</si>
  <si>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</si>
  <si>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</si>
  <si>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</si>
  <si>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</si>
  <si>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</si>
  <si>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</si>
  <si>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</si>
  <si>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</si>
  <si>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</si>
  <si>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</si>
  <si>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</si>
  <si>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</si>
  <si>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</si>
  <si>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</si>
  <si>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</si>
  <si>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</si>
  <si>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</si>
  <si>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</si>
  <si>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</si>
  <si>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</si>
  <si>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</si>
  <si>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</si>
  <si>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</si>
  <si>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</si>
  <si>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</si>
  <si>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</si>
  <si>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</si>
  <si>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</si>
  <si>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</si>
  <si>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</si>
  <si>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</si>
  <si>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</si>
  <si>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</si>
  <si>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</si>
  <si>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</si>
  <si>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</si>
  <si>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</si>
  <si>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</si>
  <si>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</si>
  <si>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</si>
  <si>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</si>
  <si>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</si>
  <si>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</si>
  <si>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</si>
  <si>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</si>
  <si>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</si>
  <si>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</si>
  <si>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</si>
  <si>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</si>
  <si>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</si>
  <si>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</si>
  <si>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</si>
  <si>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</si>
  <si>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</si>
  <si>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</si>
  <si>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</si>
  <si>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</si>
  <si>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</si>
  <si>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</si>
  <si>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</si>
  <si>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</si>
  <si>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</si>
  <si>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</si>
  <si>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</si>
  <si>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</si>
  <si>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</si>
  <si>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</si>
  <si>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</si>
  <si>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</si>
  <si>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</si>
  <si>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</si>
  <si>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</si>
  <si>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</si>
  <si>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</si>
  <si>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</si>
  <si>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</si>
  <si>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</si>
  <si>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</si>
  <si>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</si>
  <si>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</si>
  <si>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</si>
  <si>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</si>
  <si>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</si>
  <si>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</si>
  <si>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</si>
  <si>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</si>
  <si>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</si>
  <si>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</si>
  <si>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</si>
  <si>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</si>
  <si>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</si>
  <si>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</si>
  <si>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</si>
  <si>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</si>
  <si>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</si>
  <si>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</si>
  <si>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</si>
  <si>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</si>
  <si>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</si>
  <si>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</si>
  <si>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</si>
  <si>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</si>
  <si>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</si>
  <si>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</si>
  <si>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</si>
  <si>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</si>
  <si>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</si>
  <si>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</si>
  <si>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</si>
  <si>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</si>
  <si>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</si>
  <si>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</si>
  <si>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</si>
  <si>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</si>
  <si>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</si>
  <si>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</si>
  <si>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</si>
  <si>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</si>
  <si>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</si>
  <si>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</si>
  <si>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</si>
  <si>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</si>
  <si>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</si>
  <si>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</si>
  <si>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</si>
  <si>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</si>
  <si>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</si>
  <si>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</si>
  <si>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</si>
  <si>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</si>
  <si>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</si>
  <si>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</si>
  <si>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</si>
  <si>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</si>
  <si>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</si>
  <si>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</si>
  <si>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</si>
  <si>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</si>
  <si>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</si>
  <si>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</si>
  <si>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</si>
  <si>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</si>
  <si>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</si>
  <si>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</si>
  <si>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</si>
  <si>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</si>
  <si>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</si>
  <si>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</si>
  <si>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</si>
  <si>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</si>
  <si>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</si>
  <si>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</si>
  <si>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</si>
  <si>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</si>
  <si>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</si>
  <si>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</si>
  <si>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</si>
  <si>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</si>
  <si>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</si>
  <si>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</si>
  <si>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</si>
  <si>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</si>
  <si>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</si>
  <si>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</si>
  <si>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</si>
  <si>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</si>
  <si>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</si>
  <si>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</si>
  <si>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</si>
  <si>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</si>
  <si>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</si>
  <si>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</si>
  <si>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</si>
  <si>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</si>
  <si>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</si>
  <si>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</si>
  <si>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</si>
  <si>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</si>
  <si>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</si>
  <si>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</si>
  <si>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</si>
  <si>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</si>
  <si>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</si>
  <si>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</si>
  <si>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</si>
  <si>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</si>
  <si>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</si>
  <si>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</si>
  <si>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</si>
  <si>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</si>
  <si>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</si>
  <si>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</si>
  <si>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</si>
  <si>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</si>
  <si>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</si>
  <si>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</si>
  <si>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</si>
  <si>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</si>
  <si>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</si>
  <si>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</si>
  <si>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</si>
  <si>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</si>
  <si>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</si>
  <si>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</si>
  <si>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</si>
  <si>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</si>
  <si>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</si>
  <si>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</si>
  <si>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</si>
  <si>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</si>
  <si>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</si>
  <si>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</si>
  <si>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</si>
  <si>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</si>
  <si>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</si>
  <si>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</si>
  <si>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</si>
  <si>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</si>
  <si>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</si>
  <si>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</si>
  <si>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</si>
  <si>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</si>
  <si>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</si>
  <si>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</si>
  <si>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</si>
  <si>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</si>
  <si>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</si>
  <si>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</si>
  <si>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</si>
  <si>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</si>
  <si>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</si>
  <si>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</si>
  <si>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</si>
  <si>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</si>
  <si>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</si>
  <si>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</si>
  <si>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</si>
  <si>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</si>
  <si>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</si>
  <si>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</si>
  <si>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</si>
  <si>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</si>
  <si>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</si>
  <si>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</si>
  <si>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</si>
  <si>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</si>
  <si>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</si>
  <si>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</si>
  <si>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</si>
  <si>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</si>
  <si>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</si>
  <si>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</si>
  <si>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</si>
  <si>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</si>
  <si>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</si>
  <si>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</si>
  <si>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</si>
  <si>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</si>
  <si>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</si>
  <si>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</si>
  <si>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</si>
  <si>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</si>
  <si>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</si>
  <si>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</si>
  <si>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</si>
  <si>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</si>
  <si>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</si>
  <si>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</si>
  <si>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</si>
  <si>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</si>
  <si>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</si>
  <si>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</si>
  <si>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</si>
  <si>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</si>
  <si>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</si>
  <si>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</si>
  <si>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</si>
  <si>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</si>
  <si>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</si>
  <si>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</si>
  <si>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</si>
  <si>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</si>
  <si>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</si>
  <si>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</si>
  <si>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</si>
  <si>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</si>
  <si>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</si>
  <si>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</si>
  <si>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</si>
  <si>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</si>
  <si>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</si>
  <si>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</si>
  <si>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</si>
  <si>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</si>
  <si>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</si>
  <si>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</si>
  <si>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</si>
  <si>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</si>
  <si>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</si>
  <si>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</si>
  <si>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</si>
  <si>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</si>
  <si>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</si>
  <si>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</si>
  <si>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</si>
  <si>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</si>
  <si>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</si>
  <si>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</si>
  <si>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</si>
  <si>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</si>
  <si>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</si>
  <si>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</si>
  <si>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</si>
  <si>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</si>
  <si>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</si>
  <si>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</si>
  <si>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</si>
  <si>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</si>
  <si>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</si>
  <si>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</si>
  <si>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</si>
  <si>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</si>
  <si>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</si>
  <si>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</si>
  <si>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</si>
  <si>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</si>
  <si>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</si>
  <si>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</si>
  <si>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</si>
  <si>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</si>
  <si>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</si>
  <si>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</si>
  <si>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</si>
  <si>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</si>
  <si>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</si>
  <si>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</si>
  <si>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</si>
  <si>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</si>
  <si>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</si>
  <si>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</si>
  <si>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</si>
  <si>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</si>
  <si>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</si>
  <si>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</si>
  <si>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</si>
  <si>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</si>
  <si>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</si>
  <si>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</si>
  <si>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</si>
  <si>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</si>
  <si>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</si>
  <si>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</si>
  <si>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</si>
  <si>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</si>
  <si>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</si>
  <si>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</si>
  <si>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</si>
  <si>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</si>
  <si>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</si>
  <si>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</si>
  <si>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</si>
  <si>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</si>
  <si>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</si>
  <si>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</si>
  <si>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</si>
  <si>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</si>
  <si>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</si>
  <si>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</si>
  <si>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</si>
  <si>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</si>
  <si>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</si>
  <si>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</si>
  <si>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</si>
  <si>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</si>
  <si>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</si>
  <si>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</si>
  <si>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</si>
  <si>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</si>
  <si>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</si>
  <si>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</si>
  <si>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</si>
  <si>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</si>
  <si>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</si>
  <si>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</si>
  <si>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</si>
  <si>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</si>
  <si>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</si>
  <si>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</si>
  <si>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</si>
  <si>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</si>
  <si>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</si>
  <si>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</si>
  <si>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</si>
  <si>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</si>
  <si>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</si>
  <si>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</si>
  <si>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</si>
  <si>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</si>
  <si>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</si>
  <si>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</si>
  <si>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</si>
  <si>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</si>
  <si>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</si>
  <si>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</si>
  <si>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</si>
  <si>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</si>
  <si>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</si>
  <si>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</si>
  <si>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</si>
  <si>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</si>
  <si>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</si>
  <si>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</si>
  <si>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</si>
  <si>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</si>
  <si>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</si>
  <si>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</si>
  <si>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</si>
  <si>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</si>
  <si>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</si>
  <si>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</si>
  <si>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</si>
  <si>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</si>
  <si>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</si>
  <si>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</si>
  <si>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</si>
  <si>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</si>
  <si>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</si>
  <si>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</si>
  <si>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</si>
  <si>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</si>
  <si>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</si>
  <si>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</si>
  <si>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</si>
  <si>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</si>
  <si>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</si>
  <si>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</si>
  <si>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</si>
  <si>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</si>
  <si>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</si>
  <si>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</si>
  <si>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</si>
  <si>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</si>
  <si>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</si>
  <si>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</si>
  <si>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</si>
  <si>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</si>
  <si>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</si>
  <si>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</si>
  <si>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</si>
  <si>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</si>
  <si>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</si>
  <si>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</si>
  <si>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</si>
  <si>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</si>
  <si>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</si>
  <si>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</si>
  <si>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</si>
  <si>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</si>
  <si>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</si>
  <si>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</si>
  <si>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</si>
  <si>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</si>
  <si>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</si>
  <si>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</si>
  <si>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</si>
  <si>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</si>
  <si>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</si>
  <si>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</si>
  <si>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</si>
  <si>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</si>
  <si>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</si>
  <si>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</si>
  <si>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</si>
  <si>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</si>
  <si>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</si>
  <si>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</si>
  <si>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</si>
  <si>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</si>
  <si>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</si>
  <si>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</si>
  <si>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</si>
  <si>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</si>
  <si>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</si>
  <si>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</si>
  <si>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</si>
  <si>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</si>
  <si>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</si>
  <si>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</si>
  <si>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</si>
  <si>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</si>
  <si>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</si>
  <si>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</si>
  <si>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</si>
  <si>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</si>
  <si>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</si>
  <si>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</si>
  <si>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</si>
  <si>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</si>
  <si>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</si>
  <si>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</si>
  <si>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</si>
  <si>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</si>
  <si>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</si>
  <si>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</si>
  <si>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</si>
  <si>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</si>
  <si>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</si>
  <si>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</si>
  <si>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</si>
  <si>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</si>
  <si>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</si>
  <si>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</si>
  <si>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</si>
  <si>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</si>
  <si>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</si>
  <si>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</si>
  <si>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</si>
  <si>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</si>
  <si>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</si>
  <si>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</si>
  <si>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</si>
  <si>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</si>
  <si>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</si>
  <si>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</si>
  <si>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</si>
  <si>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</si>
  <si>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</si>
  <si>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</si>
  <si>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</si>
  <si>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</si>
  <si>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</si>
  <si>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</si>
  <si>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</si>
  <si>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</si>
  <si>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</si>
  <si>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</si>
  <si>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</si>
  <si>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</si>
  <si>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</si>
  <si>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</si>
  <si>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</si>
  <si>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</si>
  <si>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</si>
  <si>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</si>
  <si>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</si>
  <si>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</si>
  <si>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</si>
  <si>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</si>
  <si>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</si>
  <si>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</si>
  <si>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</si>
  <si>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</si>
  <si>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</si>
  <si>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</si>
  <si>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</si>
  <si>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</si>
  <si>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</si>
  <si>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</si>
  <si>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</si>
  <si>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</si>
  <si>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</si>
  <si>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</si>
  <si>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</si>
  <si>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</si>
  <si>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</si>
  <si>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</si>
  <si>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</si>
  <si>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</si>
  <si>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</si>
  <si>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</si>
  <si>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</si>
  <si>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</si>
  <si>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</si>
  <si>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</si>
  <si>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</si>
  <si>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</si>
  <si>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</si>
  <si>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</si>
  <si>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</si>
  <si>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</si>
  <si>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</si>
  <si>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</si>
  <si>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</si>
  <si>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</si>
  <si>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</si>
  <si>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</si>
  <si>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</si>
  <si>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</si>
  <si>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</si>
  <si>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</si>
  <si>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</si>
  <si>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</si>
  <si>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</si>
  <si>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</si>
  <si>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</si>
  <si>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</si>
  <si>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</si>
  <si>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</si>
  <si>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</si>
  <si>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</si>
  <si>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</si>
  <si>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</si>
  <si>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</si>
  <si>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</si>
  <si>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</si>
  <si>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</si>
  <si>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</si>
  <si>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</si>
  <si>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</si>
  <si>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</si>
  <si>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</si>
  <si>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</si>
  <si>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</si>
  <si>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</si>
  <si>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</si>
  <si>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</si>
  <si>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</si>
  <si>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</si>
  <si>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</si>
  <si>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</si>
  <si>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</si>
  <si>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</si>
  <si>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</si>
  <si>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</si>
  <si>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</si>
  <si>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</si>
  <si>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</si>
  <si>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</si>
  <si>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</si>
  <si>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</si>
  <si>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</si>
  <si>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</si>
  <si>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</si>
  <si>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</si>
  <si>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</si>
  <si>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</si>
  <si>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</si>
  <si>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</si>
  <si>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</si>
  <si>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</si>
  <si>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</si>
  <si>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</si>
  <si>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</si>
  <si>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</si>
  <si>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</si>
  <si>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</si>
  <si>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</si>
  <si>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</si>
  <si>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</si>
  <si>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</si>
  <si>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</si>
  <si>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</si>
  <si>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</si>
  <si>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</si>
  <si>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</si>
  <si>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</si>
  <si>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</si>
  <si>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</si>
  <si>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</si>
  <si>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</si>
  <si>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</si>
  <si>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</si>
  <si>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</si>
  <si>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</si>
  <si>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</si>
  <si>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</si>
  <si>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</si>
  <si>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</si>
  <si>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</si>
  <si>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</si>
  <si>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</si>
  <si>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</si>
  <si>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</si>
  <si>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</si>
  <si>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</si>
  <si>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</si>
  <si>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</si>
  <si>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</si>
  <si>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</si>
  <si>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</si>
  <si>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</si>
  <si>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</si>
  <si>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</si>
  <si>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</si>
  <si>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</si>
  <si>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</si>
  <si>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</si>
  <si>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</si>
  <si>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</si>
  <si>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</si>
  <si>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</si>
  <si>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</si>
  <si>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</si>
  <si>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</si>
  <si>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</si>
  <si>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</si>
  <si>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</si>
  <si>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</si>
  <si>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</si>
  <si>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</si>
  <si>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</si>
  <si>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</si>
  <si>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</si>
  <si>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</si>
  <si>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</si>
  <si>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</si>
  <si>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</si>
  <si>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</si>
  <si>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</si>
  <si>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</si>
  <si>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</si>
  <si>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</si>
  <si>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</si>
  <si>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</si>
  <si>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</si>
  <si>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</si>
  <si>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</si>
  <si>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</si>
  <si>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</si>
  <si>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</si>
  <si>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</si>
  <si>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</si>
  <si>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</si>
  <si>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</si>
  <si>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</si>
  <si>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</si>
  <si>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</si>
  <si>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</si>
  <si>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</si>
  <si>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</si>
  <si>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</si>
  <si>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</si>
  <si>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</si>
  <si>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</si>
  <si>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</si>
  <si>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</si>
  <si>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</si>
  <si>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</si>
  <si>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</si>
  <si>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</si>
  <si>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</si>
  <si>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</si>
  <si>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</si>
  <si>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</si>
  <si>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</si>
  <si>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</si>
  <si>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</si>
  <si>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</si>
  <si>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</si>
  <si>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</si>
  <si>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</si>
  <si>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</si>
  <si>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</si>
  <si>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</si>
  <si>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</si>
  <si>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</si>
  <si>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</si>
  <si>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</si>
  <si>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</si>
  <si>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</si>
  <si>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</si>
  <si>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</si>
  <si>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</si>
  <si>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</si>
  <si>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</si>
  <si>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</si>
  <si>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</si>
  <si>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</si>
  <si>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</si>
  <si>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</si>
  <si>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</si>
  <si>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</si>
  <si>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</si>
  <si>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</si>
  <si>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</si>
  <si>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</si>
  <si>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</si>
  <si>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</si>
  <si>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</si>
  <si>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</si>
  <si>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</si>
  <si>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</si>
  <si>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</si>
  <si>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</si>
  <si>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</si>
  <si>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</si>
  <si>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</si>
  <si>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</si>
  <si>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</si>
  <si>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</si>
  <si>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</si>
  <si>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</si>
  <si>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</si>
  <si>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</si>
  <si>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</si>
  <si>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</si>
  <si>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</si>
  <si>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</si>
  <si>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</si>
  <si>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</si>
  <si>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</si>
  <si>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</si>
  <si>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</si>
  <si>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</si>
  <si>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</si>
  <si>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</si>
  <si>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</si>
  <si>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</si>
  <si>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</si>
  <si>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</si>
  <si>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</si>
  <si>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</si>
  <si>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</si>
  <si>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</si>
  <si>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</si>
  <si>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</si>
  <si>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</si>
  <si>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</si>
  <si>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</si>
  <si>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</si>
  <si>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</si>
  <si>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</si>
  <si>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</si>
  <si>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</si>
  <si>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</si>
  <si>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</si>
  <si>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</si>
  <si>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</si>
  <si>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</si>
  <si>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</si>
  <si>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</si>
  <si>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</si>
  <si>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</si>
  <si>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</si>
  <si>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</si>
  <si>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</si>
  <si>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</si>
  <si>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</si>
  <si>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</si>
  <si>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</si>
  <si>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</si>
  <si>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</si>
  <si>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</si>
  <si>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</si>
  <si>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</si>
  <si>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</si>
  <si>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</si>
  <si>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</si>
  <si>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</si>
  <si>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</si>
  <si>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</si>
  <si>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</si>
  <si>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</si>
  <si>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</si>
  <si>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</si>
  <si>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</si>
  <si>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</si>
  <si>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</si>
  <si>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</si>
  <si>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</si>
  <si>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</si>
  <si>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</si>
  <si>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</si>
  <si>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</si>
  <si>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</si>
  <si>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</si>
  <si>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</si>
  <si>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</si>
  <si>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</si>
  <si>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</si>
  <si>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</si>
  <si>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</si>
  <si>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</si>
  <si>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</si>
  <si>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</si>
  <si>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</si>
  <si>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</si>
  <si>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</si>
  <si>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</si>
  <si>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</si>
  <si>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</si>
  <si>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</si>
  <si>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</si>
  <si>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</si>
  <si>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</si>
  <si>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</si>
  <si>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</si>
  <si>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</si>
  <si>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</si>
  <si>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</si>
  <si>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</si>
  <si>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</si>
  <si>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</si>
  <si>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</si>
  <si>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</si>
  <si>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</si>
  <si>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</si>
  <si>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</si>
  <si>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</si>
  <si>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</si>
  <si>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</si>
  <si>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</si>
  <si>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</si>
  <si>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</si>
  <si>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</si>
  <si>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</si>
  <si>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</si>
  <si>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</si>
  <si>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</si>
  <si>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</si>
  <si>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</si>
  <si>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</si>
  <si>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</si>
  <si>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</si>
  <si>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</si>
  <si>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</si>
  <si>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</si>
  <si>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</si>
  <si>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</si>
  <si>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</si>
  <si>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</si>
  <si>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</si>
  <si>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</si>
  <si>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</si>
  <si>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</si>
  <si>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</si>
  <si>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</si>
  <si>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</si>
  <si>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</si>
  <si>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</si>
  <si>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</si>
  <si>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</si>
  <si>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</si>
  <si>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</si>
  <si>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</si>
  <si>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</si>
  <si>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</si>
  <si>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</si>
  <si>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</si>
  <si>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</si>
  <si>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</si>
  <si>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</si>
  <si>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</si>
  <si>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</si>
  <si>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</si>
  <si>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</si>
  <si>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</si>
  <si>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</si>
  <si>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</si>
  <si>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</si>
  <si>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</si>
  <si>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</si>
  <si>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</si>
  <si>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</si>
  <si>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</si>
  <si>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</si>
  <si>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</si>
  <si>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</si>
  <si>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</si>
  <si>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</si>
  <si>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</si>
  <si>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</si>
  <si>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</si>
  <si>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</si>
  <si>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</si>
  <si>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</si>
  <si>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</si>
  <si>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</si>
  <si>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</si>
  <si>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</si>
  <si>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</si>
  <si>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</si>
  <si>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</si>
  <si>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</si>
  <si>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</si>
  <si>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</si>
  <si>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</si>
  <si>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</si>
  <si>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</si>
  <si>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</si>
  <si>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</si>
  <si>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</si>
  <si>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</si>
  <si>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</si>
  <si>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</si>
  <si>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</si>
  <si>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</si>
  <si>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</si>
  <si>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</si>
  <si>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</si>
  <si>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</si>
  <si>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</si>
  <si>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</si>
  <si>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</si>
  <si>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</si>
  <si>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</si>
  <si>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</si>
  <si>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</si>
  <si>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</si>
  <si>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</si>
  <si>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</si>
  <si>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</si>
  <si>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</si>
  <si>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</si>
  <si>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</si>
  <si>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</si>
  <si>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</si>
  <si>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</si>
  <si>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</si>
  <si>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</si>
  <si>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</si>
  <si>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</si>
  <si>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</si>
  <si>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</si>
  <si>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</si>
  <si>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</si>
  <si>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</si>
  <si>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</si>
  <si>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</si>
  <si>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</si>
  <si>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Mayor</t>
  </si>
  <si>
    <t>Speaker</t>
  </si>
  <si>
    <t>Council</t>
  </si>
  <si>
    <t>Internal Audit</t>
  </si>
  <si>
    <t>Executive &amp; Council</t>
  </si>
  <si>
    <t>Finance &amp; Administration</t>
  </si>
  <si>
    <t>Budget &amp; Treasury</t>
  </si>
  <si>
    <t>Records &amp; Registry</t>
  </si>
  <si>
    <t>Labour Relations</t>
  </si>
  <si>
    <t>Planning &amp; Development</t>
  </si>
  <si>
    <t>Local Economic Development</t>
  </si>
  <si>
    <t>Intergrated Development Plan</t>
  </si>
  <si>
    <t>Land Use Management</t>
  </si>
  <si>
    <t>Spatial Planning</t>
  </si>
  <si>
    <t>Town Planning</t>
  </si>
  <si>
    <t xml:space="preserve">Housing </t>
  </si>
  <si>
    <t>Technical Services</t>
  </si>
  <si>
    <t>Sewerage Reticulation</t>
  </si>
  <si>
    <t>Public Works</t>
  </si>
  <si>
    <t>Project Management Unit</t>
  </si>
  <si>
    <t>Municipal Buildings</t>
  </si>
  <si>
    <t>Mechanical Workshop</t>
  </si>
  <si>
    <t>Community &amp; Social Services</t>
  </si>
  <si>
    <t>Parks and Sports</t>
  </si>
  <si>
    <t>Streets</t>
  </si>
  <si>
    <t>Traffic</t>
  </si>
  <si>
    <t>Security Services</t>
  </si>
  <si>
    <t>1,1 - Mayor</t>
  </si>
  <si>
    <t>1,2 - Speaker</t>
  </si>
  <si>
    <t>1,3 - Council</t>
  </si>
  <si>
    <t>1,4 - Municipal Manager</t>
  </si>
  <si>
    <t>1,5 - Internal Audit</t>
  </si>
  <si>
    <t>2,1 - Budget &amp; Treasury</t>
  </si>
  <si>
    <t>2,2 - Human Resources</t>
  </si>
  <si>
    <t>2,3 - Information Technology</t>
  </si>
  <si>
    <t>2,4 - Records &amp; Registry</t>
  </si>
  <si>
    <t>2,5 - Labour Relations</t>
  </si>
  <si>
    <t>3,1 - Local Economic Development</t>
  </si>
  <si>
    <t>3,2 - Intergrated Development Plan</t>
  </si>
  <si>
    <t>3,3 - Land Use Management</t>
  </si>
  <si>
    <t>3,4 - Spatial Planning</t>
  </si>
  <si>
    <t>3,5 - Town Planning</t>
  </si>
  <si>
    <t xml:space="preserve">3,6 - Housing </t>
  </si>
  <si>
    <t>4,1 - Electricity</t>
  </si>
  <si>
    <t>4,2 - Sewerage Reticulation</t>
  </si>
  <si>
    <t>4,3 - Public Works</t>
  </si>
  <si>
    <t>4,4 - Project Management Unit</t>
  </si>
  <si>
    <t>4,5 - Municipal Buildings</t>
  </si>
  <si>
    <t>4,6 - Mechanical Workshop</t>
  </si>
  <si>
    <t>4,7 - Water</t>
  </si>
  <si>
    <t>5,1 - Refuse</t>
  </si>
  <si>
    <t>5,2 - Parks and Sports</t>
  </si>
  <si>
    <t>5,3 - Streets</t>
  </si>
  <si>
    <t>5,5 - Cemeteries</t>
  </si>
  <si>
    <t>5,4 - Traffic</t>
  </si>
  <si>
    <t>5,6 - Libraries</t>
  </si>
  <si>
    <t>5,7 - Security Services</t>
  </si>
  <si>
    <t>LG-Seta</t>
  </si>
  <si>
    <t xml:space="preserve"> Municipal Infrastructure Grant (MIG)</t>
  </si>
  <si>
    <t>Department of Energy</t>
  </si>
  <si>
    <t>Galaletsang Moroane</t>
  </si>
  <si>
    <t>018 642 1081</t>
  </si>
  <si>
    <t>018 642 2618</t>
  </si>
  <si>
    <t xml:space="preserve">galaletsang.moroane@ramotshere.gov.za </t>
  </si>
  <si>
    <t>Ramotshere Moiloa Local Municipality</t>
  </si>
  <si>
    <t>92</t>
  </si>
  <si>
    <t>Zeerust</t>
  </si>
  <si>
    <t>Cnr President &amp; Coetzee Street</t>
  </si>
  <si>
    <t>A. Thwesha</t>
  </si>
  <si>
    <t>AN Thale</t>
  </si>
  <si>
    <t>C Maema</t>
  </si>
  <si>
    <t>N. Lemme</t>
  </si>
  <si>
    <t>T Thebe</t>
  </si>
  <si>
    <t xml:space="preserve">temogo.thebe@ramotshere.gov.za </t>
  </si>
  <si>
    <t>M Lekaba</t>
  </si>
  <si>
    <t>079 631 3059</t>
  </si>
  <si>
    <t xml:space="preserve">mothusi.lekaba@rmotshere.gov.za </t>
  </si>
  <si>
    <t>K Matsobe</t>
  </si>
  <si>
    <t xml:space="preserve">keitumetse.matsobe@ramotshere.gov.za </t>
  </si>
  <si>
    <t>B Rauwane</t>
  </si>
  <si>
    <t>P Moumakwa</t>
  </si>
  <si>
    <t>Capital Expenditure</t>
  </si>
  <si>
    <t>Not adhering to procurement plans</t>
  </si>
  <si>
    <t>Problems with the vaulation roll</t>
  </si>
  <si>
    <t>Water Grant</t>
  </si>
  <si>
    <t>Debtors</t>
  </si>
  <si>
    <t>High level of indigency</t>
  </si>
  <si>
    <t>Adhere to procurement plans</t>
  </si>
  <si>
    <t>Data cleansing</t>
  </si>
  <si>
    <t>Intensify credit control policy or indigent registration</t>
  </si>
  <si>
    <t>Intensify credit control policy</t>
  </si>
  <si>
    <t>Low payment rate</t>
  </si>
  <si>
    <t xml:space="preserve">www.ramotshere.gov.za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</si>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</sst>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 * #,##0_ ;_ * \-#,##0_ ;_ * &quot;-&quot;??_ ;_ @_ "/>
    <numFmt numFmtId="165" formatCode="_ * #,##0.0_ ;_ * \-#,##0.0_ ;_ * &quot;-&quot;??_ ;_ @_ "/>
    <numFmt numFmtId="166" formatCode="#,###,;[Red]\(#,###,\)"/>
    <numFmt numFmtId="167" formatCode="0.0%"/>
    <numFmt numFmtId="168" formatCode="#,###,;\(#,###,\)"/>
    <numFmt numFmtId="169" formatCode="#,###,,;\(#,###,,\)"/>
    <numFmt numFmtId="170" formatCode="_(* #,##0,,_);_(* \(#,##0,,\);_(* &quot;–&quot;?_);_(@_)"/>
    <numFmt numFmtId="171" formatCode="_(* #,##0,_);_(* \(#,##0,\);_(* &quot;–&quot;?_);_(@_)"/>
    <numFmt numFmtId="172" formatCode="0%;\-0%;_(* &quot;–&quot;?_);_(@_)"/>
    <numFmt numFmtId="173" formatCode="m/d/yy;@"/>
    <numFmt numFmtId="174" formatCode="0000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43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55" fillId="58" borderId="0" applyNumberFormat="0" applyBorder="0" applyAlignment="0" applyProtection="0"/>
    <xf numFmtId="0" fontId="56" fillId="59" borderId="95" applyNumberFormat="0" applyAlignment="0" applyProtection="0"/>
    <xf numFmtId="0" fontId="57" fillId="60" borderId="96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61" borderId="0" applyNumberFormat="0" applyBorder="0" applyAlignment="0" applyProtection="0"/>
    <xf numFmtId="0" fontId="61" fillId="0" borderId="97" applyNumberFormat="0" applyFill="0" applyAlignment="0" applyProtection="0"/>
    <xf numFmtId="0" fontId="62" fillId="0" borderId="98" applyNumberFormat="0" applyFill="0" applyAlignment="0" applyProtection="0"/>
    <xf numFmtId="0" fontId="63" fillId="0" borderId="9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62" borderId="95" applyNumberFormat="0" applyAlignment="0" applyProtection="0"/>
    <xf numFmtId="0" fontId="66" fillId="0" borderId="100" applyNumberFormat="0" applyFill="0" applyAlignment="0" applyProtection="0"/>
    <xf numFmtId="0" fontId="67" fillId="63" borderId="0" applyNumberFormat="0" applyBorder="0" applyAlignment="0" applyProtection="0"/>
    <xf numFmtId="0" fontId="1" fillId="64" borderId="101" applyNumberFormat="0" applyFont="0" applyAlignment="0" applyProtection="0"/>
    <xf numFmtId="0" fontId="68" fillId="59" borderId="102" applyNumberFormat="0" applyAlignment="0" applyProtection="0"/>
    <xf numFmtId="9" fontId="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03" applyNumberFormat="0" applyFill="0" applyAlignment="0" applyProtection="0"/>
    <xf numFmtId="0" fontId="71" fillId="0" borderId="0" applyNumberFormat="0" applyFill="0" applyBorder="0" applyAlignment="0" applyProtection="0"/>
  </cellStyleXfs>
  <cellXfs count="1032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quotePrefix="1" applyFont="1" applyBorder="1"/>
    <xf numFmtId="0" fontId="5" fillId="0" borderId="0" xfId="0" quotePrefix="1" applyFont="1" applyBorder="1"/>
    <xf numFmtId="0" fontId="6" fillId="24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0" fillId="0" borderId="20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0" fontId="9" fillId="0" borderId="22" xfId="0" applyNumberFormat="1" applyFont="1" applyBorder="1"/>
    <xf numFmtId="170" fontId="9" fillId="0" borderId="23" xfId="0" applyNumberFormat="1" applyFont="1" applyBorder="1"/>
    <xf numFmtId="0" fontId="9" fillId="0" borderId="17" xfId="0" applyFont="1" applyBorder="1"/>
    <xf numFmtId="170" fontId="9" fillId="0" borderId="24" xfId="0" applyNumberFormat="1" applyFont="1" applyBorder="1"/>
    <xf numFmtId="0" fontId="13" fillId="0" borderId="0" xfId="0" applyFont="1" applyAlignment="1">
      <alignment horizontal="left"/>
    </xf>
    <xf numFmtId="0" fontId="10" fillId="0" borderId="16" xfId="0" applyFont="1" applyFill="1" applyBorder="1" applyAlignment="1">
      <alignment horizontal="left" vertical="center"/>
    </xf>
    <xf numFmtId="0" fontId="12" fillId="0" borderId="11" xfId="0" applyFont="1" applyBorder="1"/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 indent="1"/>
    </xf>
    <xf numFmtId="168" fontId="9" fillId="0" borderId="10" xfId="0" applyNumberFormat="1" applyFont="1" applyBorder="1"/>
    <xf numFmtId="0" fontId="10" fillId="0" borderId="11" xfId="0" applyFont="1" applyBorder="1" applyAlignment="1">
      <alignment horizontal="left"/>
    </xf>
    <xf numFmtId="0" fontId="9" fillId="0" borderId="11" xfId="0" applyFont="1" applyBorder="1"/>
    <xf numFmtId="171" fontId="9" fillId="0" borderId="0" xfId="0" applyNumberFormat="1" applyFont="1" applyBorder="1"/>
    <xf numFmtId="171" fontId="9" fillId="0" borderId="22" xfId="0" applyNumberFormat="1" applyFont="1" applyBorder="1"/>
    <xf numFmtId="171" fontId="9" fillId="0" borderId="13" xfId="0" applyNumberFormat="1" applyFont="1" applyBorder="1"/>
    <xf numFmtId="171" fontId="9" fillId="0" borderId="26" xfId="0" applyNumberFormat="1" applyFont="1" applyBorder="1"/>
    <xf numFmtId="171" fontId="9" fillId="0" borderId="22" xfId="0" applyNumberFormat="1" applyFont="1" applyFill="1" applyBorder="1"/>
    <xf numFmtId="168" fontId="9" fillId="0" borderId="13" xfId="0" applyNumberFormat="1" applyFont="1" applyFill="1" applyBorder="1"/>
    <xf numFmtId="171" fontId="10" fillId="0" borderId="0" xfId="0" applyNumberFormat="1" applyFont="1" applyBorder="1"/>
    <xf numFmtId="171" fontId="10" fillId="0" borderId="22" xfId="0" applyNumberFormat="1" applyFont="1" applyBorder="1"/>
    <xf numFmtId="171" fontId="10" fillId="0" borderId="26" xfId="0" applyNumberFormat="1" applyFont="1" applyBorder="1"/>
    <xf numFmtId="168" fontId="10" fillId="0" borderId="10" xfId="0" applyNumberFormat="1" applyFont="1" applyBorder="1"/>
    <xf numFmtId="0" fontId="10" fillId="0" borderId="27" xfId="0" applyFont="1" applyBorder="1"/>
    <xf numFmtId="171" fontId="10" fillId="0" borderId="28" xfId="0" applyNumberFormat="1" applyFont="1" applyBorder="1"/>
    <xf numFmtId="171" fontId="10" fillId="0" borderId="29" xfId="0" applyNumberFormat="1" applyFont="1" applyBorder="1"/>
    <xf numFmtId="171" fontId="10" fillId="0" borderId="30" xfId="0" applyNumberFormat="1" applyFont="1" applyBorder="1"/>
    <xf numFmtId="0" fontId="14" fillId="0" borderId="0" xfId="0" applyFont="1" applyBorder="1"/>
    <xf numFmtId="0" fontId="9" fillId="0" borderId="0" xfId="0" applyFont="1" applyBorder="1" applyAlignment="1">
      <alignment horizontal="center"/>
    </xf>
    <xf numFmtId="168" fontId="10" fillId="0" borderId="0" xfId="0" applyNumberFormat="1" applyFont="1" applyFill="1" applyBorder="1"/>
    <xf numFmtId="0" fontId="13" fillId="0" borderId="0" xfId="0" quotePrefix="1" applyFont="1" applyBorder="1"/>
    <xf numFmtId="0" fontId="10" fillId="0" borderId="0" xfId="0" applyFont="1" applyBorder="1"/>
    <xf numFmtId="168" fontId="10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164" fontId="9" fillId="0" borderId="0" xfId="28" applyNumberFormat="1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164" fontId="9" fillId="0" borderId="0" xfId="28" applyNumberFormat="1" applyFont="1" applyAlignment="1">
      <alignment horizontal="center"/>
    </xf>
    <xf numFmtId="167" fontId="9" fillId="0" borderId="0" xfId="42" applyNumberFormat="1" applyFont="1" applyAlignment="1">
      <alignment horizontal="center"/>
    </xf>
    <xf numFmtId="164" fontId="9" fillId="0" borderId="0" xfId="0" applyNumberFormat="1" applyFont="1"/>
    <xf numFmtId="167" fontId="9" fillId="0" borderId="0" xfId="0" applyNumberFormat="1" applyFont="1"/>
    <xf numFmtId="171" fontId="10" fillId="0" borderId="31" xfId="0" applyNumberFormat="1" applyFont="1" applyBorder="1"/>
    <xf numFmtId="171" fontId="10" fillId="0" borderId="32" xfId="0" applyNumberFormat="1" applyFont="1" applyBorder="1"/>
    <xf numFmtId="167" fontId="9" fillId="0" borderId="0" xfId="0" applyNumberFormat="1" applyFont="1" applyAlignment="1">
      <alignment horizontal="center"/>
    </xf>
    <xf numFmtId="171" fontId="10" fillId="0" borderId="24" xfId="0" applyNumberFormat="1" applyFont="1" applyBorder="1"/>
    <xf numFmtId="171" fontId="10" fillId="0" borderId="33" xfId="0" applyNumberFormat="1" applyFont="1" applyBorder="1"/>
    <xf numFmtId="0" fontId="14" fillId="0" borderId="0" xfId="0" applyFont="1" applyBorder="1" applyAlignment="1">
      <alignment horizontal="left"/>
    </xf>
    <xf numFmtId="168" fontId="11" fillId="0" borderId="0" xfId="0" applyNumberFormat="1" applyFont="1" applyBorder="1"/>
    <xf numFmtId="0" fontId="13" fillId="0" borderId="0" xfId="0" applyFont="1" applyBorder="1"/>
    <xf numFmtId="0" fontId="13" fillId="0" borderId="11" xfId="0" applyFont="1" applyBorder="1" applyAlignment="1">
      <alignment horizontal="right"/>
    </xf>
    <xf numFmtId="0" fontId="9" fillId="0" borderId="24" xfId="0" applyFont="1" applyFill="1" applyBorder="1" applyAlignment="1">
      <alignment horizontal="center" vertical="center"/>
    </xf>
    <xf numFmtId="171" fontId="10" fillId="0" borderId="34" xfId="0" applyNumberFormat="1" applyFont="1" applyBorder="1"/>
    <xf numFmtId="168" fontId="9" fillId="0" borderId="0" xfId="0" applyNumberFormat="1" applyFont="1" applyBorder="1"/>
    <xf numFmtId="168" fontId="9" fillId="0" borderId="0" xfId="0" applyNumberFormat="1" applyFont="1"/>
    <xf numFmtId="0" fontId="9" fillId="0" borderId="11" xfId="0" applyFont="1" applyFill="1" applyBorder="1" applyAlignment="1">
      <alignment horizontal="left" indent="1"/>
    </xf>
    <xf numFmtId="0" fontId="10" fillId="0" borderId="11" xfId="0" applyFont="1" applyBorder="1"/>
    <xf numFmtId="0" fontId="10" fillId="0" borderId="11" xfId="0" applyFont="1" applyFill="1" applyBorder="1"/>
    <xf numFmtId="0" fontId="13" fillId="0" borderId="11" xfId="0" applyFont="1" applyBorder="1"/>
    <xf numFmtId="166" fontId="10" fillId="0" borderId="0" xfId="0" applyNumberFormat="1" applyFont="1" applyBorder="1"/>
    <xf numFmtId="0" fontId="9" fillId="0" borderId="16" xfId="0" applyFont="1" applyBorder="1"/>
    <xf numFmtId="0" fontId="10" fillId="0" borderId="35" xfId="0" applyFont="1" applyBorder="1"/>
    <xf numFmtId="43" fontId="9" fillId="0" borderId="0" xfId="28" applyFont="1" applyBorder="1"/>
    <xf numFmtId="0" fontId="10" fillId="0" borderId="16" xfId="0" applyFont="1" applyBorder="1"/>
    <xf numFmtId="0" fontId="14" fillId="0" borderId="0" xfId="0" applyFont="1"/>
    <xf numFmtId="0" fontId="9" fillId="0" borderId="0" xfId="0" applyFont="1" applyFill="1" applyBorder="1"/>
    <xf numFmtId="168" fontId="9" fillId="0" borderId="0" xfId="0" applyNumberFormat="1" applyFont="1" applyFill="1" applyBorder="1"/>
    <xf numFmtId="9" fontId="9" fillId="0" borderId="0" xfId="42" applyFont="1"/>
    <xf numFmtId="171" fontId="9" fillId="0" borderId="36" xfId="0" applyNumberFormat="1" applyFont="1" applyBorder="1"/>
    <xf numFmtId="0" fontId="9" fillId="0" borderId="0" xfId="0" applyFont="1" applyFill="1"/>
    <xf numFmtId="171" fontId="9" fillId="0" borderId="36" xfId="0" applyNumberFormat="1" applyFont="1" applyFill="1" applyBorder="1"/>
    <xf numFmtId="171" fontId="10" fillId="0" borderId="22" xfId="0" applyNumberFormat="1" applyFont="1" applyFill="1" applyBorder="1"/>
    <xf numFmtId="168" fontId="9" fillId="0" borderId="22" xfId="0" applyNumberFormat="1" applyFont="1" applyBorder="1"/>
    <xf numFmtId="168" fontId="9" fillId="0" borderId="26" xfId="0" applyNumberFormat="1" applyFont="1" applyBorder="1"/>
    <xf numFmtId="0" fontId="9" fillId="0" borderId="11" xfId="0" applyFont="1" applyFill="1" applyBorder="1"/>
    <xf numFmtId="0" fontId="10" fillId="0" borderId="11" xfId="0" applyFont="1" applyBorder="1" applyAlignment="1">
      <alignment horizontal="left" indent="1"/>
    </xf>
    <xf numFmtId="0" fontId="9" fillId="0" borderId="11" xfId="0" applyFont="1" applyBorder="1" applyAlignment="1">
      <alignment horizontal="left" indent="2"/>
    </xf>
    <xf numFmtId="171" fontId="9" fillId="0" borderId="37" xfId="0" applyNumberFormat="1" applyFont="1" applyBorder="1"/>
    <xf numFmtId="171" fontId="10" fillId="0" borderId="10" xfId="0" applyNumberFormat="1" applyFont="1" applyBorder="1"/>
    <xf numFmtId="171" fontId="10" fillId="0" borderId="37" xfId="0" applyNumberFormat="1" applyFont="1" applyBorder="1"/>
    <xf numFmtId="0" fontId="9" fillId="0" borderId="11" xfId="0" applyFont="1" applyBorder="1" applyAlignment="1">
      <alignment horizontal="left" wrapText="1" indent="1"/>
    </xf>
    <xf numFmtId="171" fontId="10" fillId="0" borderId="38" xfId="0" applyNumberFormat="1" applyFont="1" applyBorder="1"/>
    <xf numFmtId="0" fontId="10" fillId="0" borderId="27" xfId="0" applyFont="1" applyFill="1" applyBorder="1"/>
    <xf numFmtId="0" fontId="9" fillId="0" borderId="0" xfId="0" applyFont="1" applyFill="1" applyBorder="1" applyAlignment="1">
      <alignment horizontal="center"/>
    </xf>
    <xf numFmtId="171" fontId="9" fillId="0" borderId="24" xfId="0" applyNumberFormat="1" applyFont="1" applyBorder="1"/>
    <xf numFmtId="171" fontId="9" fillId="0" borderId="33" xfId="0" applyNumberFormat="1" applyFont="1" applyBorder="1"/>
    <xf numFmtId="168" fontId="9" fillId="0" borderId="0" xfId="28" applyNumberFormat="1" applyFont="1" applyBorder="1"/>
    <xf numFmtId="164" fontId="9" fillId="0" borderId="0" xfId="28" applyNumberFormat="1" applyFont="1" applyBorder="1"/>
    <xf numFmtId="0" fontId="9" fillId="0" borderId="19" xfId="0" applyFont="1" applyBorder="1" applyAlignment="1">
      <alignment horizontal="center"/>
    </xf>
    <xf numFmtId="167" fontId="9" fillId="0" borderId="10" xfId="42" applyNumberFormat="1" applyFont="1" applyFill="1" applyBorder="1" applyAlignment="1">
      <alignment horizontal="center" vertical="top" wrapText="1"/>
    </xf>
    <xf numFmtId="0" fontId="13" fillId="0" borderId="0" xfId="0" applyFont="1"/>
    <xf numFmtId="0" fontId="12" fillId="0" borderId="15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167" fontId="9" fillId="0" borderId="22" xfId="42" applyNumberFormat="1" applyFont="1" applyFill="1" applyBorder="1" applyAlignment="1">
      <alignment horizontal="center" vertical="top" wrapText="1"/>
    </xf>
    <xf numFmtId="167" fontId="9" fillId="0" borderId="0" xfId="42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indent="1"/>
    </xf>
    <xf numFmtId="0" fontId="9" fillId="0" borderId="3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9" fontId="9" fillId="0" borderId="24" xfId="42" applyFont="1" applyBorder="1" applyAlignment="1">
      <alignment horizontal="center"/>
    </xf>
    <xf numFmtId="171" fontId="9" fillId="0" borderId="10" xfId="0" applyNumberFormat="1" applyFont="1" applyBorder="1"/>
    <xf numFmtId="164" fontId="9" fillId="0" borderId="0" xfId="28" applyNumberFormat="1" applyFont="1" applyFill="1" applyBorder="1"/>
    <xf numFmtId="0" fontId="12" fillId="0" borderId="40" xfId="0" applyFont="1" applyBorder="1"/>
    <xf numFmtId="0" fontId="10" fillId="0" borderId="41" xfId="0" applyFont="1" applyFill="1" applyBorder="1" applyAlignment="1">
      <alignment horizontal="centerContinuous" vertical="center" wrapText="1"/>
    </xf>
    <xf numFmtId="0" fontId="10" fillId="0" borderId="20" xfId="0" applyFont="1" applyFill="1" applyBorder="1" applyAlignment="1">
      <alignment horizontal="centerContinuous" vertical="center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71" fontId="9" fillId="0" borderId="46" xfId="0" applyNumberFormat="1" applyFont="1" applyBorder="1"/>
    <xf numFmtId="171" fontId="10" fillId="0" borderId="47" xfId="0" applyNumberFormat="1" applyFont="1" applyBorder="1"/>
    <xf numFmtId="9" fontId="10" fillId="0" borderId="22" xfId="42" applyFont="1" applyBorder="1" applyAlignment="1">
      <alignment horizontal="center"/>
    </xf>
    <xf numFmtId="9" fontId="10" fillId="0" borderId="0" xfId="42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2" fillId="0" borderId="39" xfId="0" applyNumberFormat="1" applyFont="1" applyBorder="1"/>
    <xf numFmtId="0" fontId="9" fillId="0" borderId="10" xfId="0" applyNumberFormat="1" applyFont="1" applyBorder="1" applyAlignment="1">
      <alignment horizontal="left" indent="1"/>
    </xf>
    <xf numFmtId="0" fontId="10" fillId="0" borderId="10" xfId="0" applyNumberFormat="1" applyFont="1" applyBorder="1"/>
    <xf numFmtId="0" fontId="9" fillId="0" borderId="19" xfId="0" applyNumberFormat="1" applyFont="1" applyBorder="1"/>
    <xf numFmtId="0" fontId="12" fillId="0" borderId="10" xfId="0" applyNumberFormat="1" applyFont="1" applyBorder="1"/>
    <xf numFmtId="169" fontId="9" fillId="0" borderId="0" xfId="0" applyNumberFormat="1" applyFont="1"/>
    <xf numFmtId="0" fontId="9" fillId="0" borderId="19" xfId="0" applyFont="1" applyBorder="1"/>
    <xf numFmtId="0" fontId="10" fillId="0" borderId="4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1" fontId="9" fillId="0" borderId="38" xfId="0" applyNumberFormat="1" applyFont="1" applyBorder="1"/>
    <xf numFmtId="171" fontId="9" fillId="0" borderId="31" xfId="0" applyNumberFormat="1" applyFont="1" applyBorder="1"/>
    <xf numFmtId="0" fontId="8" fillId="0" borderId="0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0" borderId="10" xfId="0" applyFont="1" applyBorder="1"/>
    <xf numFmtId="0" fontId="10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9" fontId="10" fillId="0" borderId="10" xfId="42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/>
    </xf>
    <xf numFmtId="168" fontId="9" fillId="0" borderId="19" xfId="0" applyNumberFormat="1" applyFont="1" applyBorder="1"/>
    <xf numFmtId="0" fontId="9" fillId="0" borderId="19" xfId="0" applyFont="1" applyFill="1" applyBorder="1"/>
    <xf numFmtId="0" fontId="9" fillId="0" borderId="19" xfId="0" applyFont="1" applyBorder="1" applyAlignment="1">
      <alignment horizontal="left" vertical="top" wrapText="1"/>
    </xf>
    <xf numFmtId="0" fontId="9" fillId="0" borderId="39" xfId="0" applyFont="1" applyBorder="1"/>
    <xf numFmtId="0" fontId="12" fillId="0" borderId="39" xfId="0" applyFont="1" applyBorder="1"/>
    <xf numFmtId="168" fontId="10" fillId="0" borderId="10" xfId="0" applyNumberFormat="1" applyFont="1" applyFill="1" applyBorder="1"/>
    <xf numFmtId="0" fontId="12" fillId="0" borderId="15" xfId="0" applyFont="1" applyBorder="1"/>
    <xf numFmtId="0" fontId="9" fillId="0" borderId="0" xfId="0" applyFont="1" applyBorder="1" applyAlignment="1">
      <alignment horizontal="left"/>
    </xf>
    <xf numFmtId="0" fontId="9" fillId="0" borderId="13" xfId="0" applyFont="1" applyBorder="1"/>
    <xf numFmtId="0" fontId="9" fillId="0" borderId="11" xfId="0" applyFont="1" applyBorder="1" applyAlignment="1"/>
    <xf numFmtId="0" fontId="9" fillId="0" borderId="39" xfId="0" applyFont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center" vertical="center" wrapText="1"/>
    </xf>
    <xf numFmtId="171" fontId="9" fillId="0" borderId="50" xfId="0" applyNumberFormat="1" applyFont="1" applyBorder="1"/>
    <xf numFmtId="0" fontId="9" fillId="0" borderId="26" xfId="0" applyFont="1" applyFill="1" applyBorder="1"/>
    <xf numFmtId="0" fontId="9" fillId="0" borderId="22" xfId="0" applyFont="1" applyFill="1" applyBorder="1"/>
    <xf numFmtId="0" fontId="9" fillId="0" borderId="46" xfId="0" applyFont="1" applyFill="1" applyBorder="1"/>
    <xf numFmtId="171" fontId="10" fillId="0" borderId="46" xfId="0" applyNumberFormat="1" applyFont="1" applyBorder="1"/>
    <xf numFmtId="171" fontId="9" fillId="0" borderId="51" xfId="0" applyNumberFormat="1" applyFont="1" applyBorder="1"/>
    <xf numFmtId="170" fontId="9" fillId="0" borderId="26" xfId="0" applyNumberFormat="1" applyFont="1" applyBorder="1"/>
    <xf numFmtId="170" fontId="9" fillId="0" borderId="10" xfId="0" applyNumberFormat="1" applyFont="1" applyBorder="1"/>
    <xf numFmtId="169" fontId="9" fillId="0" borderId="19" xfId="0" applyNumberFormat="1" applyFont="1" applyFill="1" applyBorder="1"/>
    <xf numFmtId="0" fontId="10" fillId="0" borderId="52" xfId="0" applyFont="1" applyFill="1" applyBorder="1" applyAlignment="1">
      <alignment horizontal="center" vertical="center" wrapText="1"/>
    </xf>
    <xf numFmtId="9" fontId="9" fillId="0" borderId="22" xfId="42" applyFont="1" applyFill="1" applyBorder="1" applyAlignment="1">
      <alignment horizontal="center"/>
    </xf>
    <xf numFmtId="170" fontId="9" fillId="0" borderId="46" xfId="0" applyNumberFormat="1" applyFont="1" applyBorder="1"/>
    <xf numFmtId="169" fontId="9" fillId="0" borderId="33" xfId="0" applyNumberFormat="1" applyFont="1" applyFill="1" applyBorder="1"/>
    <xf numFmtId="169" fontId="9" fillId="0" borderId="24" xfId="0" applyNumberFormat="1" applyFont="1" applyFill="1" applyBorder="1"/>
    <xf numFmtId="169" fontId="9" fillId="0" borderId="50" xfId="0" applyNumberFormat="1" applyFont="1" applyFill="1" applyBorder="1"/>
    <xf numFmtId="9" fontId="10" fillId="0" borderId="43" xfId="42" applyFont="1" applyFill="1" applyBorder="1" applyAlignment="1">
      <alignment horizontal="center" vertical="center" wrapText="1"/>
    </xf>
    <xf numFmtId="172" fontId="10" fillId="0" borderId="22" xfId="42" applyNumberFormat="1" applyFont="1" applyBorder="1"/>
    <xf numFmtId="172" fontId="9" fillId="0" borderId="22" xfId="42" applyNumberFormat="1" applyFont="1" applyBorder="1"/>
    <xf numFmtId="172" fontId="9" fillId="0" borderId="36" xfId="42" applyNumberFormat="1" applyFont="1" applyBorder="1"/>
    <xf numFmtId="170" fontId="9" fillId="0" borderId="19" xfId="0" applyNumberFormat="1" applyFont="1" applyBorder="1"/>
    <xf numFmtId="170" fontId="9" fillId="0" borderId="33" xfId="0" applyNumberFormat="1" applyFont="1" applyBorder="1"/>
    <xf numFmtId="172" fontId="9" fillId="0" borderId="24" xfId="42" applyNumberFormat="1" applyFont="1" applyBorder="1"/>
    <xf numFmtId="170" fontId="9" fillId="0" borderId="50" xfId="0" applyNumberFormat="1" applyFont="1" applyBorder="1"/>
    <xf numFmtId="170" fontId="9" fillId="0" borderId="39" xfId="0" applyNumberFormat="1" applyFont="1" applyBorder="1"/>
    <xf numFmtId="170" fontId="9" fillId="0" borderId="25" xfId="0" applyNumberFormat="1" applyFont="1" applyBorder="1"/>
    <xf numFmtId="172" fontId="9" fillId="0" borderId="23" xfId="42" applyNumberFormat="1" applyFont="1" applyBorder="1"/>
    <xf numFmtId="170" fontId="9" fillId="0" borderId="53" xfId="0" applyNumberFormat="1" applyFont="1" applyBorder="1"/>
    <xf numFmtId="170" fontId="9" fillId="25" borderId="22" xfId="0" applyNumberFormat="1" applyFont="1" applyFill="1" applyBorder="1"/>
    <xf numFmtId="170" fontId="9" fillId="25" borderId="24" xfId="0" applyNumberFormat="1" applyFont="1" applyFill="1" applyBorder="1"/>
    <xf numFmtId="172" fontId="9" fillId="25" borderId="22" xfId="42" applyNumberFormat="1" applyFont="1" applyFill="1" applyBorder="1"/>
    <xf numFmtId="172" fontId="9" fillId="25" borderId="24" xfId="42" applyNumberFormat="1" applyFont="1" applyFill="1" applyBorder="1"/>
    <xf numFmtId="0" fontId="13" fillId="0" borderId="0" xfId="0" applyFont="1" applyFill="1"/>
    <xf numFmtId="0" fontId="9" fillId="0" borderId="3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171" fontId="9" fillId="0" borderId="19" xfId="0" applyNumberFormat="1" applyFont="1" applyBorder="1"/>
    <xf numFmtId="0" fontId="10" fillId="0" borderId="53" xfId="0" applyFont="1" applyBorder="1" applyAlignment="1">
      <alignment horizontal="center"/>
    </xf>
    <xf numFmtId="9" fontId="10" fillId="0" borderId="22" xfId="42" applyFont="1" applyFill="1" applyBorder="1" applyAlignment="1">
      <alignment horizontal="center" vertical="center" wrapText="1"/>
    </xf>
    <xf numFmtId="0" fontId="9" fillId="0" borderId="26" xfId="0" applyFont="1" applyBorder="1"/>
    <xf numFmtId="0" fontId="10" fillId="0" borderId="21" xfId="0" applyFont="1" applyFill="1" applyBorder="1" applyAlignment="1">
      <alignment horizontal="centerContinuous" vertical="center" wrapText="1"/>
    </xf>
    <xf numFmtId="0" fontId="10" fillId="0" borderId="44" xfId="0" applyFont="1" applyFill="1" applyBorder="1" applyAlignment="1">
      <alignment horizontal="centerContinuous" vertical="center" wrapText="1"/>
    </xf>
    <xf numFmtId="0" fontId="10" fillId="0" borderId="48" xfId="0" applyFont="1" applyFill="1" applyBorder="1" applyAlignment="1">
      <alignment horizontal="centerContinuous" vertical="center" wrapText="1"/>
    </xf>
    <xf numFmtId="0" fontId="9" fillId="0" borderId="54" xfId="0" applyNumberFormat="1" applyFont="1" applyBorder="1" applyAlignment="1">
      <alignment horizontal="left" indent="1"/>
    </xf>
    <xf numFmtId="0" fontId="9" fillId="0" borderId="55" xfId="0" applyFont="1" applyBorder="1" applyAlignment="1">
      <alignment horizontal="center"/>
    </xf>
    <xf numFmtId="171" fontId="10" fillId="0" borderId="50" xfId="0" applyNumberFormat="1" applyFont="1" applyBorder="1"/>
    <xf numFmtId="171" fontId="10" fillId="0" borderId="56" xfId="0" applyNumberFormat="1" applyFont="1" applyBorder="1"/>
    <xf numFmtId="0" fontId="9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0" borderId="33" xfId="0" applyFont="1" applyBorder="1"/>
    <xf numFmtId="0" fontId="9" fillId="0" borderId="24" xfId="0" applyFont="1" applyBorder="1"/>
    <xf numFmtId="9" fontId="10" fillId="0" borderId="24" xfId="42" applyFont="1" applyFill="1" applyBorder="1" applyAlignment="1">
      <alignment horizontal="center" vertical="center"/>
    </xf>
    <xf numFmtId="171" fontId="10" fillId="0" borderId="55" xfId="0" applyNumberFormat="1" applyFont="1" applyBorder="1"/>
    <xf numFmtId="171" fontId="10" fillId="0" borderId="19" xfId="0" applyNumberFormat="1" applyFont="1" applyBorder="1"/>
    <xf numFmtId="0" fontId="10" fillId="0" borderId="57" xfId="0" applyFont="1" applyFill="1" applyBorder="1" applyAlignment="1">
      <alignment horizontal="centerContinuous" vertical="center" wrapText="1"/>
    </xf>
    <xf numFmtId="0" fontId="9" fillId="0" borderId="58" xfId="0" applyFont="1" applyBorder="1"/>
    <xf numFmtId="0" fontId="9" fillId="0" borderId="59" xfId="0" applyFont="1" applyBorder="1" applyAlignment="1">
      <alignment horizontal="left" indent="1"/>
    </xf>
    <xf numFmtId="0" fontId="9" fillId="0" borderId="54" xfId="0" applyFont="1" applyBorder="1" applyAlignment="1">
      <alignment horizontal="center"/>
    </xf>
    <xf numFmtId="171" fontId="9" fillId="0" borderId="54" xfId="0" applyNumberFormat="1" applyFont="1" applyBorder="1"/>
    <xf numFmtId="0" fontId="10" fillId="0" borderId="11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/>
    </xf>
    <xf numFmtId="171" fontId="10" fillId="0" borderId="10" xfId="0" applyNumberFormat="1" applyFont="1" applyBorder="1" applyAlignment="1">
      <alignment vertical="top"/>
    </xf>
    <xf numFmtId="171" fontId="10" fillId="0" borderId="26" xfId="0" applyNumberFormat="1" applyFont="1" applyBorder="1" applyAlignment="1">
      <alignment vertical="top"/>
    </xf>
    <xf numFmtId="171" fontId="10" fillId="0" borderId="22" xfId="0" applyNumberFormat="1" applyFont="1" applyBorder="1" applyAlignment="1">
      <alignment vertical="top"/>
    </xf>
    <xf numFmtId="171" fontId="10" fillId="0" borderId="46" xfId="0" applyNumberFormat="1" applyFont="1" applyBorder="1" applyAlignment="1">
      <alignment vertical="top"/>
    </xf>
    <xf numFmtId="0" fontId="9" fillId="0" borderId="59" xfId="0" applyFont="1" applyBorder="1" applyAlignment="1">
      <alignment horizontal="left" wrapText="1" indent="1"/>
    </xf>
    <xf numFmtId="0" fontId="10" fillId="0" borderId="60" xfId="0" applyFont="1" applyFill="1" applyBorder="1" applyAlignment="1">
      <alignment horizontal="center" vertical="center" wrapText="1"/>
    </xf>
    <xf numFmtId="171" fontId="9" fillId="0" borderId="45" xfId="0" applyNumberFormat="1" applyFont="1" applyBorder="1"/>
    <xf numFmtId="171" fontId="10" fillId="0" borderId="45" xfId="0" applyNumberFormat="1" applyFont="1" applyBorder="1"/>
    <xf numFmtId="171" fontId="10" fillId="0" borderId="61" xfId="0" applyNumberFormat="1" applyFont="1" applyBorder="1"/>
    <xf numFmtId="171" fontId="9" fillId="0" borderId="55" xfId="0" applyNumberFormat="1" applyFont="1" applyBorder="1"/>
    <xf numFmtId="171" fontId="9" fillId="0" borderId="61" xfId="0" applyNumberFormat="1" applyFont="1" applyBorder="1"/>
    <xf numFmtId="171" fontId="9" fillId="0" borderId="47" xfId="0" applyNumberFormat="1" applyFont="1" applyBorder="1"/>
    <xf numFmtId="171" fontId="9" fillId="0" borderId="62" xfId="0" applyNumberFormat="1" applyFont="1" applyBorder="1"/>
    <xf numFmtId="171" fontId="10" fillId="0" borderId="58" xfId="0" applyNumberFormat="1" applyFont="1" applyBorder="1"/>
    <xf numFmtId="168" fontId="9" fillId="0" borderId="46" xfId="0" applyNumberFormat="1" applyFont="1" applyBorder="1"/>
    <xf numFmtId="0" fontId="10" fillId="0" borderId="63" xfId="0" applyFont="1" applyBorder="1" applyAlignment="1">
      <alignment horizontal="center"/>
    </xf>
    <xf numFmtId="168" fontId="9" fillId="0" borderId="45" xfId="0" applyNumberFormat="1" applyFont="1" applyBorder="1"/>
    <xf numFmtId="0" fontId="10" fillId="0" borderId="39" xfId="0" applyFont="1" applyFill="1" applyBorder="1" applyAlignment="1">
      <alignment horizontal="centerContinuous" vertical="center" wrapText="1"/>
    </xf>
    <xf numFmtId="0" fontId="10" fillId="0" borderId="15" xfId="0" applyFont="1" applyFill="1" applyBorder="1" applyAlignment="1">
      <alignment horizontal="center" vertical="center" wrapText="1"/>
    </xf>
    <xf numFmtId="171" fontId="10" fillId="0" borderId="64" xfId="0" applyNumberFormat="1" applyFont="1" applyBorder="1"/>
    <xf numFmtId="0" fontId="10" fillId="0" borderId="15" xfId="0" applyFont="1" applyBorder="1"/>
    <xf numFmtId="171" fontId="9" fillId="25" borderId="22" xfId="0" applyNumberFormat="1" applyFont="1" applyFill="1" applyBorder="1"/>
    <xf numFmtId="171" fontId="9" fillId="25" borderId="24" xfId="0" applyNumberFormat="1" applyFont="1" applyFill="1" applyBorder="1"/>
    <xf numFmtId="0" fontId="10" fillId="0" borderId="65" xfId="0" applyFont="1" applyFill="1" applyBorder="1" applyAlignment="1">
      <alignment horizontal="centerContinuous" vertical="center" wrapText="1"/>
    </xf>
    <xf numFmtId="167" fontId="9" fillId="0" borderId="46" xfId="42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 indent="1"/>
    </xf>
    <xf numFmtId="9" fontId="9" fillId="0" borderId="63" xfId="0" applyNumberFormat="1" applyFont="1" applyBorder="1" applyAlignment="1">
      <alignment horizontal="center" vertical="top"/>
    </xf>
    <xf numFmtId="9" fontId="9" fillId="0" borderId="23" xfId="0" applyNumberFormat="1" applyFont="1" applyBorder="1" applyAlignment="1">
      <alignment horizontal="center" vertical="top"/>
    </xf>
    <xf numFmtId="9" fontId="9" fillId="0" borderId="53" xfId="0" applyNumberFormat="1" applyFont="1" applyBorder="1" applyAlignment="1">
      <alignment horizontal="center" vertical="top"/>
    </xf>
    <xf numFmtId="0" fontId="12" fillId="0" borderId="11" xfId="0" applyFont="1" applyBorder="1" applyAlignment="1">
      <alignment horizontal="left" vertical="top"/>
    </xf>
    <xf numFmtId="167" fontId="9" fillId="0" borderId="45" xfId="42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Continuous" vertical="center" wrapText="1"/>
    </xf>
    <xf numFmtId="0" fontId="10" fillId="0" borderId="38" xfId="0" applyFont="1" applyBorder="1" applyAlignment="1">
      <alignment horizontal="center"/>
    </xf>
    <xf numFmtId="0" fontId="9" fillId="0" borderId="46" xfId="0" applyFont="1" applyBorder="1"/>
    <xf numFmtId="0" fontId="9" fillId="0" borderId="37" xfId="0" applyFont="1" applyBorder="1"/>
    <xf numFmtId="0" fontId="9" fillId="0" borderId="45" xfId="0" applyFont="1" applyBorder="1"/>
    <xf numFmtId="169" fontId="9" fillId="0" borderId="0" xfId="0" applyNumberFormat="1" applyFont="1" applyFill="1" applyBorder="1"/>
    <xf numFmtId="172" fontId="9" fillId="0" borderId="0" xfId="42" applyNumberFormat="1" applyFont="1" applyBorder="1"/>
    <xf numFmtId="171" fontId="10" fillId="25" borderId="29" xfId="0" applyNumberFormat="1" applyFont="1" applyFill="1" applyBorder="1"/>
    <xf numFmtId="167" fontId="10" fillId="0" borderId="29" xfId="42" applyNumberFormat="1" applyFont="1" applyFill="1" applyBorder="1" applyAlignment="1">
      <alignment horizontal="center" vertical="top" wrapText="1"/>
    </xf>
    <xf numFmtId="0" fontId="10" fillId="0" borderId="59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66" xfId="0" applyFont="1" applyBorder="1"/>
    <xf numFmtId="0" fontId="9" fillId="0" borderId="36" xfId="0" applyFont="1" applyBorder="1"/>
    <xf numFmtId="0" fontId="9" fillId="0" borderId="36" xfId="0" applyFont="1" applyFill="1" applyBorder="1" applyAlignment="1">
      <alignment horizontal="center" vertical="center"/>
    </xf>
    <xf numFmtId="9" fontId="10" fillId="0" borderId="36" xfId="42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62" xfId="0" applyFont="1" applyBorder="1"/>
    <xf numFmtId="171" fontId="9" fillId="0" borderId="58" xfId="0" applyNumberFormat="1" applyFont="1" applyBorder="1"/>
    <xf numFmtId="168" fontId="10" fillId="0" borderId="26" xfId="0" applyNumberFormat="1" applyFont="1" applyBorder="1"/>
    <xf numFmtId="168" fontId="10" fillId="0" borderId="22" xfId="0" applyNumberFormat="1" applyFont="1" applyBorder="1"/>
    <xf numFmtId="168" fontId="10" fillId="0" borderId="46" xfId="0" applyNumberFormat="1" applyFont="1" applyBorder="1"/>
    <xf numFmtId="167" fontId="10" fillId="0" borderId="22" xfId="42" applyNumberFormat="1" applyFont="1" applyFill="1" applyBorder="1" applyAlignment="1">
      <alignment horizontal="center" vertical="top" wrapText="1"/>
    </xf>
    <xf numFmtId="167" fontId="10" fillId="0" borderId="31" xfId="42" applyNumberFormat="1" applyFont="1" applyFill="1" applyBorder="1" applyAlignment="1">
      <alignment horizontal="center" vertical="top" wrapText="1"/>
    </xf>
    <xf numFmtId="171" fontId="9" fillId="0" borderId="30" xfId="0" applyNumberFormat="1" applyFont="1" applyBorder="1"/>
    <xf numFmtId="171" fontId="9" fillId="0" borderId="29" xfId="0" applyNumberFormat="1" applyFont="1" applyBorder="1"/>
    <xf numFmtId="167" fontId="9" fillId="0" borderId="29" xfId="42" applyNumberFormat="1" applyFont="1" applyFill="1" applyBorder="1" applyAlignment="1">
      <alignment horizontal="center" vertical="top" wrapText="1"/>
    </xf>
    <xf numFmtId="171" fontId="9" fillId="0" borderId="56" xfId="0" applyNumberFormat="1" applyFont="1" applyBorder="1"/>
    <xf numFmtId="0" fontId="9" fillId="0" borderId="67" xfId="0" applyFont="1" applyBorder="1" applyAlignment="1">
      <alignment horizontal="center"/>
    </xf>
    <xf numFmtId="9" fontId="10" fillId="0" borderId="26" xfId="42" applyFont="1" applyBorder="1" applyAlignment="1">
      <alignment horizontal="center"/>
    </xf>
    <xf numFmtId="9" fontId="10" fillId="0" borderId="46" xfId="42" applyFont="1" applyBorder="1" applyAlignment="1">
      <alignment horizontal="center"/>
    </xf>
    <xf numFmtId="167" fontId="10" fillId="0" borderId="46" xfId="42" applyNumberFormat="1" applyFont="1" applyFill="1" applyBorder="1" applyAlignment="1">
      <alignment horizontal="center" vertical="top" wrapText="1"/>
    </xf>
    <xf numFmtId="0" fontId="10" fillId="0" borderId="68" xfId="0" applyFont="1" applyBorder="1"/>
    <xf numFmtId="0" fontId="10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vertical="center" wrapText="1"/>
    </xf>
    <xf numFmtId="0" fontId="10" fillId="0" borderId="37" xfId="0" applyFont="1" applyBorder="1" applyAlignment="1">
      <alignment horizontal="center"/>
    </xf>
    <xf numFmtId="171" fontId="9" fillId="0" borderId="69" xfId="0" applyNumberFormat="1" applyFont="1" applyBorder="1"/>
    <xf numFmtId="0" fontId="10" fillId="0" borderId="35" xfId="0" applyFont="1" applyFill="1" applyBorder="1"/>
    <xf numFmtId="168" fontId="10" fillId="0" borderId="55" xfId="0" applyNumberFormat="1" applyFont="1" applyBorder="1"/>
    <xf numFmtId="171" fontId="10" fillId="0" borderId="70" xfId="0" applyNumberFormat="1" applyFont="1" applyBorder="1"/>
    <xf numFmtId="0" fontId="9" fillId="0" borderId="16" xfId="0" applyFont="1" applyFill="1" applyBorder="1" applyAlignment="1">
      <alignment horizontal="left" indent="1"/>
    </xf>
    <xf numFmtId="0" fontId="13" fillId="0" borderId="11" xfId="0" quotePrefix="1" applyFont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167" fontId="9" fillId="0" borderId="36" xfId="42" applyNumberFormat="1" applyFont="1" applyFill="1" applyBorder="1" applyAlignment="1">
      <alignment horizontal="center" vertical="top" wrapText="1"/>
    </xf>
    <xf numFmtId="168" fontId="9" fillId="0" borderId="0" xfId="28" applyNumberFormat="1" applyFont="1" applyFill="1" applyBorder="1"/>
    <xf numFmtId="0" fontId="10" fillId="0" borderId="67" xfId="0" applyFont="1" applyFill="1" applyBorder="1" applyAlignment="1">
      <alignment horizontal="center" vertical="center" wrapText="1"/>
    </xf>
    <xf numFmtId="171" fontId="10" fillId="25" borderId="22" xfId="0" applyNumberFormat="1" applyFont="1" applyFill="1" applyBorder="1"/>
    <xf numFmtId="171" fontId="9" fillId="25" borderId="36" xfId="0" applyNumberFormat="1" applyFont="1" applyFill="1" applyBorder="1"/>
    <xf numFmtId="171" fontId="10" fillId="25" borderId="22" xfId="0" applyNumberFormat="1" applyFont="1" applyFill="1" applyBorder="1" applyAlignment="1">
      <alignment vertical="top"/>
    </xf>
    <xf numFmtId="9" fontId="9" fillId="0" borderId="22" xfId="42" applyFont="1" applyBorder="1" applyAlignment="1">
      <alignment horizontal="center"/>
    </xf>
    <xf numFmtId="9" fontId="10" fillId="0" borderId="31" xfId="42" applyFont="1" applyBorder="1" applyAlignment="1">
      <alignment horizontal="center"/>
    </xf>
    <xf numFmtId="9" fontId="10" fillId="0" borderId="29" xfId="42" applyFont="1" applyBorder="1" applyAlignment="1">
      <alignment horizontal="center"/>
    </xf>
    <xf numFmtId="9" fontId="10" fillId="0" borderId="24" xfId="42" applyFont="1" applyBorder="1" applyAlignment="1">
      <alignment horizontal="center"/>
    </xf>
    <xf numFmtId="171" fontId="10" fillId="25" borderId="24" xfId="0" applyNumberFormat="1" applyFont="1" applyFill="1" applyBorder="1"/>
    <xf numFmtId="9" fontId="9" fillId="0" borderId="36" xfId="42" applyFont="1" applyBorder="1" applyAlignment="1">
      <alignment horizontal="center"/>
    </xf>
    <xf numFmtId="0" fontId="9" fillId="0" borderId="12" xfId="0" applyFont="1" applyBorder="1"/>
    <xf numFmtId="0" fontId="9" fillId="0" borderId="14" xfId="0" applyFont="1" applyBorder="1"/>
    <xf numFmtId="0" fontId="15" fillId="0" borderId="15" xfId="0" applyFont="1" applyBorder="1"/>
    <xf numFmtId="0" fontId="9" fillId="0" borderId="65" xfId="0" applyFont="1" applyBorder="1"/>
    <xf numFmtId="168" fontId="9" fillId="0" borderId="13" xfId="28" applyNumberFormat="1" applyFont="1" applyFill="1" applyBorder="1"/>
    <xf numFmtId="2" fontId="9" fillId="0" borderId="0" xfId="0" applyNumberFormat="1" applyFont="1"/>
    <xf numFmtId="0" fontId="10" fillId="0" borderId="11" xfId="0" quotePrefix="1" applyFont="1" applyBorder="1" applyAlignment="1">
      <alignment horizontal="left" indent="1"/>
    </xf>
    <xf numFmtId="167" fontId="10" fillId="0" borderId="22" xfId="42" applyNumberFormat="1" applyFont="1" applyFill="1" applyBorder="1" applyAlignment="1">
      <alignment horizontal="center" wrapText="1"/>
    </xf>
    <xf numFmtId="9" fontId="10" fillId="0" borderId="22" xfId="42" applyFont="1" applyFill="1" applyBorder="1" applyAlignment="1">
      <alignment horizontal="center" vertical="top" wrapText="1"/>
    </xf>
    <xf numFmtId="0" fontId="12" fillId="0" borderId="10" xfId="0" applyFont="1" applyFill="1" applyBorder="1"/>
    <xf numFmtId="0" fontId="8" fillId="0" borderId="14" xfId="0" applyFont="1" applyFill="1" applyBorder="1" applyAlignment="1"/>
    <xf numFmtId="0" fontId="10" fillId="0" borderId="10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horizontal="left" wrapText="1" indent="1"/>
    </xf>
    <xf numFmtId="0" fontId="10" fillId="0" borderId="19" xfId="0" applyNumberFormat="1" applyFont="1" applyBorder="1"/>
    <xf numFmtId="0" fontId="10" fillId="0" borderId="59" xfId="0" applyFont="1" applyBorder="1"/>
    <xf numFmtId="9" fontId="10" fillId="0" borderId="54" xfId="42" applyFont="1" applyBorder="1" applyAlignment="1">
      <alignment horizontal="center"/>
    </xf>
    <xf numFmtId="9" fontId="10" fillId="0" borderId="66" xfId="42" applyFont="1" applyBorder="1" applyAlignment="1">
      <alignment horizontal="center"/>
    </xf>
    <xf numFmtId="9" fontId="10" fillId="0" borderId="36" xfId="42" applyFont="1" applyBorder="1" applyAlignment="1">
      <alignment horizontal="center"/>
    </xf>
    <xf numFmtId="9" fontId="10" fillId="0" borderId="51" xfId="42" applyFont="1" applyBorder="1" applyAlignment="1">
      <alignment horizontal="center"/>
    </xf>
    <xf numFmtId="0" fontId="10" fillId="0" borderId="39" xfId="0" applyFont="1" applyFill="1" applyBorder="1" applyAlignment="1">
      <alignment horizontal="center" vertical="center"/>
    </xf>
    <xf numFmtId="171" fontId="9" fillId="0" borderId="14" xfId="0" applyNumberFormat="1" applyFont="1" applyBorder="1"/>
    <xf numFmtId="171" fontId="9" fillId="0" borderId="17" xfId="0" applyNumberFormat="1" applyFont="1" applyBorder="1"/>
    <xf numFmtId="0" fontId="10" fillId="0" borderId="71" xfId="0" applyFont="1" applyBorder="1"/>
    <xf numFmtId="0" fontId="10" fillId="0" borderId="18" xfId="0" applyFont="1" applyBorder="1"/>
    <xf numFmtId="0" fontId="9" fillId="0" borderId="15" xfId="0" applyFont="1" applyBorder="1"/>
    <xf numFmtId="171" fontId="9" fillId="0" borderId="12" xfId="0" applyNumberFormat="1" applyFont="1" applyBorder="1"/>
    <xf numFmtId="171" fontId="9" fillId="0" borderId="65" xfId="0" applyNumberFormat="1" applyFont="1" applyBorder="1"/>
    <xf numFmtId="0" fontId="9" fillId="0" borderId="71" xfId="0" applyFont="1" applyBorder="1"/>
    <xf numFmtId="0" fontId="9" fillId="0" borderId="18" xfId="0" applyFont="1" applyBorder="1"/>
    <xf numFmtId="0" fontId="8" fillId="0" borderId="15" xfId="0" applyFont="1" applyBorder="1"/>
    <xf numFmtId="0" fontId="8" fillId="0" borderId="68" xfId="0" applyFont="1" applyBorder="1"/>
    <xf numFmtId="0" fontId="10" fillId="0" borderId="72" xfId="0" applyFont="1" applyBorder="1" applyAlignment="1">
      <alignment horizontal="center"/>
    </xf>
    <xf numFmtId="171" fontId="10" fillId="0" borderId="18" xfId="0" applyNumberFormat="1" applyFont="1" applyBorder="1"/>
    <xf numFmtId="0" fontId="6" fillId="24" borderId="71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Protection="1"/>
    <xf numFmtId="0" fontId="17" fillId="26" borderId="15" xfId="0" applyFont="1" applyFill="1" applyBorder="1"/>
    <xf numFmtId="0" fontId="17" fillId="26" borderId="12" xfId="0" applyFont="1" applyFill="1" applyBorder="1" applyAlignment="1">
      <alignment horizontal="left"/>
    </xf>
    <xf numFmtId="0" fontId="17" fillId="26" borderId="39" xfId="0" applyFont="1" applyFill="1" applyBorder="1" applyAlignment="1">
      <alignment horizontal="left"/>
    </xf>
    <xf numFmtId="0" fontId="17" fillId="26" borderId="15" xfId="0" applyFont="1" applyFill="1" applyBorder="1" applyAlignment="1">
      <alignment horizontal="left"/>
    </xf>
    <xf numFmtId="0" fontId="6" fillId="27" borderId="0" xfId="0" applyFont="1" applyFill="1"/>
    <xf numFmtId="0" fontId="5" fillId="0" borderId="10" xfId="0" applyFont="1" applyBorder="1"/>
    <xf numFmtId="0" fontId="18" fillId="0" borderId="0" xfId="0" applyFont="1"/>
    <xf numFmtId="17" fontId="5" fillId="0" borderId="10" xfId="0" quotePrefix="1" applyNumberFormat="1" applyFont="1" applyBorder="1"/>
    <xf numFmtId="0" fontId="5" fillId="0" borderId="10" xfId="0" quotePrefix="1" applyFont="1" applyBorder="1"/>
    <xf numFmtId="172" fontId="10" fillId="0" borderId="36" xfId="42" applyNumberFormat="1" applyFont="1" applyBorder="1"/>
    <xf numFmtId="171" fontId="9" fillId="28" borderId="26" xfId="0" applyNumberFormat="1" applyFont="1" applyFill="1" applyBorder="1" applyProtection="1">
      <protection locked="0"/>
    </xf>
    <xf numFmtId="171" fontId="9" fillId="28" borderId="22" xfId="0" applyNumberFormat="1" applyFont="1" applyFill="1" applyBorder="1" applyProtection="1">
      <protection locked="0"/>
    </xf>
    <xf numFmtId="171" fontId="9" fillId="0" borderId="46" xfId="0" applyNumberFormat="1" applyFont="1" applyFill="1" applyBorder="1"/>
    <xf numFmtId="0" fontId="12" fillId="0" borderId="10" xfId="0" applyFont="1" applyBorder="1" applyProtection="1"/>
    <xf numFmtId="0" fontId="9" fillId="0" borderId="10" xfId="0" applyFont="1" applyBorder="1" applyProtection="1"/>
    <xf numFmtId="0" fontId="9" fillId="0" borderId="10" xfId="0" applyFont="1" applyBorder="1" applyAlignment="1" applyProtection="1">
      <alignment horizontal="center"/>
    </xf>
    <xf numFmtId="9" fontId="9" fillId="0" borderId="39" xfId="0" applyNumberFormat="1" applyFont="1" applyBorder="1" applyAlignment="1" applyProtection="1">
      <alignment horizontal="center" vertical="top"/>
      <protection locked="0"/>
    </xf>
    <xf numFmtId="167" fontId="9" fillId="0" borderId="10" xfId="42" applyNumberFormat="1" applyFont="1" applyFill="1" applyBorder="1" applyAlignment="1" applyProtection="1">
      <alignment horizontal="center" vertical="top" wrapText="1"/>
    </xf>
    <xf numFmtId="167" fontId="9" fillId="0" borderId="45" xfId="42" applyNumberFormat="1" applyFont="1" applyFill="1" applyBorder="1" applyAlignment="1" applyProtection="1">
      <alignment horizontal="center" vertical="top" wrapText="1"/>
    </xf>
    <xf numFmtId="167" fontId="9" fillId="0" borderId="22" xfId="42" applyNumberFormat="1" applyFont="1" applyFill="1" applyBorder="1" applyAlignment="1" applyProtection="1">
      <alignment horizontal="center" vertical="top" wrapText="1"/>
    </xf>
    <xf numFmtId="167" fontId="9" fillId="0" borderId="46" xfId="42" applyNumberFormat="1" applyFont="1" applyFill="1" applyBorder="1" applyAlignment="1" applyProtection="1">
      <alignment horizontal="center" vertical="top" wrapText="1"/>
    </xf>
    <xf numFmtId="171" fontId="9" fillId="28" borderId="37" xfId="0" applyNumberFormat="1" applyFont="1" applyFill="1" applyBorder="1" applyProtection="1">
      <protection locked="0"/>
    </xf>
    <xf numFmtId="171" fontId="9" fillId="28" borderId="13" xfId="0" applyNumberFormat="1" applyFont="1" applyFill="1" applyBorder="1" applyProtection="1">
      <protection locked="0"/>
    </xf>
    <xf numFmtId="0" fontId="9" fillId="0" borderId="11" xfId="0" quotePrefix="1" applyFont="1" applyFill="1" applyBorder="1" applyAlignment="1">
      <alignment horizontal="left" indent="2"/>
    </xf>
    <xf numFmtId="0" fontId="10" fillId="0" borderId="11" xfId="0" quotePrefix="1" applyFont="1" applyFill="1" applyBorder="1" applyAlignment="1">
      <alignment horizontal="left" indent="1"/>
    </xf>
    <xf numFmtId="0" fontId="13" fillId="0" borderId="11" xfId="0" quotePrefix="1" applyFont="1" applyFill="1" applyBorder="1" applyAlignment="1">
      <alignment horizontal="left" indent="2"/>
    </xf>
    <xf numFmtId="9" fontId="10" fillId="25" borderId="10" xfId="42" applyFont="1" applyFill="1" applyBorder="1" applyAlignment="1">
      <alignment horizontal="center"/>
    </xf>
    <xf numFmtId="168" fontId="9" fillId="25" borderId="10" xfId="0" applyNumberFormat="1" applyFont="1" applyFill="1" applyBorder="1"/>
    <xf numFmtId="167" fontId="10" fillId="25" borderId="22" xfId="42" applyNumberFormat="1" applyFont="1" applyFill="1" applyBorder="1" applyAlignment="1">
      <alignment horizontal="center" vertical="top" wrapText="1"/>
    </xf>
    <xf numFmtId="168" fontId="9" fillId="25" borderId="22" xfId="0" applyNumberFormat="1" applyFont="1" applyFill="1" applyBorder="1"/>
    <xf numFmtId="9" fontId="10" fillId="25" borderId="22" xfId="42" applyFont="1" applyFill="1" applyBorder="1" applyAlignment="1">
      <alignment horizontal="center" vertical="top" wrapText="1"/>
    </xf>
    <xf numFmtId="9" fontId="9" fillId="25" borderId="22" xfId="42" applyFont="1" applyFill="1" applyBorder="1" applyAlignment="1">
      <alignment horizontal="center"/>
    </xf>
    <xf numFmtId="171" fontId="9" fillId="0" borderId="0" xfId="0" applyNumberFormat="1" applyFont="1" applyFill="1" applyBorder="1" applyProtection="1"/>
    <xf numFmtId="0" fontId="8" fillId="0" borderId="0" xfId="0" applyFont="1" applyFill="1" applyBorder="1" applyAlignment="1"/>
    <xf numFmtId="0" fontId="9" fillId="0" borderId="11" xfId="0" applyFont="1" applyFill="1" applyBorder="1" applyAlignment="1" applyProtection="1">
      <alignment horizontal="left" indent="1"/>
    </xf>
    <xf numFmtId="171" fontId="9" fillId="0" borderId="22" xfId="0" applyNumberFormat="1" applyFont="1" applyFill="1" applyBorder="1" applyProtection="1"/>
    <xf numFmtId="171" fontId="9" fillId="0" borderId="36" xfId="0" applyNumberFormat="1" applyFont="1" applyFill="1" applyBorder="1" applyProtection="1"/>
    <xf numFmtId="167" fontId="10" fillId="25" borderId="24" xfId="42" applyNumberFormat="1" applyFont="1" applyFill="1" applyBorder="1" applyAlignment="1">
      <alignment horizontal="center" vertical="top" wrapText="1"/>
    </xf>
    <xf numFmtId="0" fontId="9" fillId="0" borderId="0" xfId="0" quotePrefix="1" applyFont="1" applyBorder="1"/>
    <xf numFmtId="0" fontId="5" fillId="0" borderId="0" xfId="0" applyFont="1" applyBorder="1" applyAlignment="1">
      <alignment horizontal="left"/>
    </xf>
    <xf numFmtId="0" fontId="10" fillId="0" borderId="24" xfId="0" applyFont="1" applyFill="1" applyBorder="1" applyAlignment="1">
      <alignment horizontal="center" vertical="top" wrapText="1"/>
    </xf>
    <xf numFmtId="0" fontId="11" fillId="0" borderId="11" xfId="0" applyNumberFormat="1" applyFont="1" applyFill="1" applyBorder="1" applyAlignment="1" applyProtection="1">
      <alignment horizontal="left" indent="1"/>
    </xf>
    <xf numFmtId="0" fontId="9" fillId="0" borderId="22" xfId="0" applyNumberFormat="1" applyFont="1" applyBorder="1" applyAlignment="1" applyProtection="1">
      <alignment horizontal="center"/>
    </xf>
    <xf numFmtId="0" fontId="9" fillId="0" borderId="11" xfId="0" applyNumberFormat="1" applyFont="1" applyFill="1" applyBorder="1" applyAlignment="1" applyProtection="1">
      <alignment horizontal="left" indent="2"/>
    </xf>
    <xf numFmtId="0" fontId="9" fillId="0" borderId="22" xfId="0" applyNumberFormat="1" applyFont="1" applyFill="1" applyBorder="1" applyAlignment="1" applyProtection="1">
      <alignment horizontal="center"/>
    </xf>
    <xf numFmtId="0" fontId="9" fillId="0" borderId="50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171" fontId="10" fillId="0" borderId="43" xfId="0" applyNumberFormat="1" applyFont="1" applyBorder="1"/>
    <xf numFmtId="9" fontId="10" fillId="0" borderId="43" xfId="42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8" fillId="0" borderId="14" xfId="0" applyFont="1" applyFill="1" applyBorder="1" applyAlignment="1" applyProtection="1">
      <alignment horizontal="left"/>
    </xf>
    <xf numFmtId="0" fontId="19" fillId="0" borderId="0" xfId="0" applyFont="1"/>
    <xf numFmtId="0" fontId="10" fillId="0" borderId="25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24" xfId="0" applyFont="1" applyFill="1" applyBorder="1" applyAlignment="1" applyProtection="1">
      <alignment vertical="center"/>
    </xf>
    <xf numFmtId="0" fontId="12" fillId="0" borderId="11" xfId="0" applyFont="1" applyBorder="1" applyProtection="1"/>
    <xf numFmtId="0" fontId="10" fillId="0" borderId="22" xfId="0" applyNumberFormat="1" applyFont="1" applyBorder="1" applyAlignment="1" applyProtection="1">
      <alignment horizontal="center"/>
      <protection locked="0"/>
    </xf>
    <xf numFmtId="171" fontId="10" fillId="0" borderId="22" xfId="0" applyNumberFormat="1" applyFont="1" applyBorder="1" applyAlignment="1">
      <alignment horizontal="right"/>
    </xf>
    <xf numFmtId="171" fontId="10" fillId="0" borderId="13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0" borderId="26" xfId="0" applyNumberFormat="1" applyFont="1" applyBorder="1" applyAlignment="1">
      <alignment horizontal="right"/>
    </xf>
    <xf numFmtId="0" fontId="9" fillId="0" borderId="22" xfId="0" applyNumberFormat="1" applyFont="1" applyBorder="1" applyAlignment="1" applyProtection="1">
      <alignment horizontal="center"/>
      <protection locked="0"/>
    </xf>
    <xf numFmtId="168" fontId="9" fillId="0" borderId="13" xfId="0" applyNumberFormat="1" applyFont="1" applyBorder="1"/>
    <xf numFmtId="0" fontId="10" fillId="0" borderId="11" xfId="0" applyFont="1" applyBorder="1" applyAlignment="1" applyProtection="1">
      <alignment horizontal="left"/>
    </xf>
    <xf numFmtId="171" fontId="10" fillId="0" borderId="43" xfId="0" applyNumberFormat="1" applyFont="1" applyBorder="1" applyAlignment="1" applyProtection="1">
      <alignment horizontal="right"/>
    </xf>
    <xf numFmtId="171" fontId="10" fillId="0" borderId="73" xfId="0" applyNumberFormat="1" applyFont="1" applyBorder="1" applyAlignment="1" applyProtection="1">
      <alignment horizontal="right"/>
    </xf>
    <xf numFmtId="171" fontId="10" fillId="0" borderId="74" xfId="0" applyNumberFormat="1" applyFont="1" applyBorder="1" applyAlignment="1" applyProtection="1">
      <alignment horizontal="right"/>
    </xf>
    <xf numFmtId="171" fontId="10" fillId="0" borderId="52" xfId="0" applyNumberFormat="1" applyFont="1" applyBorder="1" applyAlignment="1" applyProtection="1">
      <alignment horizontal="right"/>
    </xf>
    <xf numFmtId="168" fontId="10" fillId="0" borderId="18" xfId="0" applyNumberFormat="1" applyFont="1" applyBorder="1"/>
    <xf numFmtId="168" fontId="10" fillId="0" borderId="72" xfId="0" applyNumberFormat="1" applyFont="1" applyBorder="1"/>
    <xf numFmtId="0" fontId="9" fillId="0" borderId="16" xfId="0" applyFont="1" applyBorder="1" applyProtection="1"/>
    <xf numFmtId="0" fontId="9" fillId="0" borderId="24" xfId="0" applyNumberFormat="1" applyFont="1" applyBorder="1" applyAlignment="1" applyProtection="1">
      <alignment horizontal="center"/>
    </xf>
    <xf numFmtId="171" fontId="9" fillId="0" borderId="24" xfId="0" applyNumberFormat="1" applyFont="1" applyBorder="1" applyProtection="1"/>
    <xf numFmtId="171" fontId="9" fillId="0" borderId="17" xfId="0" applyNumberFormat="1" applyFont="1" applyBorder="1" applyProtection="1"/>
    <xf numFmtId="171" fontId="9" fillId="0" borderId="14" xfId="0" applyNumberFormat="1" applyFont="1" applyBorder="1" applyProtection="1"/>
    <xf numFmtId="171" fontId="9" fillId="0" borderId="33" xfId="0" applyNumberFormat="1" applyFont="1" applyBorder="1" applyProtection="1"/>
    <xf numFmtId="0" fontId="12" fillId="0" borderId="15" xfId="0" applyFont="1" applyBorder="1" applyProtection="1"/>
    <xf numFmtId="0" fontId="9" fillId="0" borderId="23" xfId="0" applyNumberFormat="1" applyFont="1" applyBorder="1" applyAlignment="1" applyProtection="1">
      <alignment horizontal="center"/>
    </xf>
    <xf numFmtId="171" fontId="9" fillId="0" borderId="23" xfId="0" applyNumberFormat="1" applyFont="1" applyBorder="1" applyProtection="1"/>
    <xf numFmtId="171" fontId="9" fillId="0" borderId="65" xfId="0" applyNumberFormat="1" applyFont="1" applyBorder="1" applyProtection="1"/>
    <xf numFmtId="171" fontId="9" fillId="0" borderId="12" xfId="0" applyNumberFormat="1" applyFont="1" applyBorder="1" applyProtection="1"/>
    <xf numFmtId="171" fontId="9" fillId="0" borderId="25" xfId="0" applyNumberFormat="1" applyFont="1" applyBorder="1" applyProtection="1"/>
    <xf numFmtId="0" fontId="10" fillId="0" borderId="11" xfId="0" applyFont="1" applyFill="1" applyBorder="1" applyAlignment="1" applyProtection="1">
      <alignment horizontal="left" indent="1"/>
    </xf>
    <xf numFmtId="0" fontId="10" fillId="0" borderId="22" xfId="0" applyNumberFormat="1" applyFont="1" applyBorder="1" applyAlignment="1" applyProtection="1">
      <alignment horizontal="center"/>
    </xf>
    <xf numFmtId="171" fontId="10" fillId="0" borderId="22" xfId="0" applyNumberFormat="1" applyFont="1" applyBorder="1" applyAlignment="1" applyProtection="1">
      <alignment horizontal="right"/>
    </xf>
    <xf numFmtId="171" fontId="10" fillId="0" borderId="13" xfId="0" applyNumberFormat="1" applyFont="1" applyBorder="1" applyAlignment="1" applyProtection="1">
      <alignment horizontal="right"/>
    </xf>
    <xf numFmtId="171" fontId="10" fillId="0" borderId="0" xfId="0" applyNumberFormat="1" applyFont="1" applyBorder="1" applyAlignment="1" applyProtection="1">
      <alignment horizontal="right"/>
    </xf>
    <xf numFmtId="171" fontId="10" fillId="0" borderId="26" xfId="0" applyNumberFormat="1" applyFont="1" applyBorder="1" applyAlignment="1" applyProtection="1">
      <alignment horizontal="right"/>
    </xf>
    <xf numFmtId="171" fontId="9" fillId="28" borderId="0" xfId="0" applyNumberFormat="1" applyFont="1" applyFill="1" applyBorder="1" applyProtection="1">
      <protection locked="0"/>
    </xf>
    <xf numFmtId="168" fontId="9" fillId="0" borderId="10" xfId="0" applyNumberFormat="1" applyFont="1" applyFill="1" applyBorder="1"/>
    <xf numFmtId="171" fontId="10" fillId="0" borderId="74" xfId="0" applyNumberFormat="1" applyFont="1" applyBorder="1"/>
    <xf numFmtId="171" fontId="10" fillId="0" borderId="52" xfId="0" applyNumberFormat="1" applyFont="1" applyBorder="1"/>
    <xf numFmtId="168" fontId="10" fillId="0" borderId="13" xfId="0" applyNumberFormat="1" applyFont="1" applyBorder="1"/>
    <xf numFmtId="0" fontId="9" fillId="0" borderId="29" xfId="0" applyNumberFormat="1" applyFont="1" applyBorder="1" applyAlignment="1" applyProtection="1">
      <alignment horizontal="center"/>
      <protection locked="0"/>
    </xf>
    <xf numFmtId="171" fontId="10" fillId="0" borderId="29" xfId="0" applyNumberFormat="1" applyFont="1" applyFill="1" applyBorder="1"/>
    <xf numFmtId="171" fontId="10" fillId="0" borderId="75" xfId="0" applyNumberFormat="1" applyFont="1" applyBorder="1"/>
    <xf numFmtId="168" fontId="10" fillId="0" borderId="76" xfId="0" applyNumberFormat="1" applyFont="1" applyBorder="1"/>
    <xf numFmtId="168" fontId="10" fillId="0" borderId="77" xfId="0" applyNumberFormat="1" applyFont="1" applyBorder="1"/>
    <xf numFmtId="0" fontId="14" fillId="0" borderId="0" xfId="0" applyFont="1" applyBorder="1" applyProtection="1"/>
    <xf numFmtId="0" fontId="9" fillId="0" borderId="0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168" fontId="10" fillId="0" borderId="0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13" fillId="0" borderId="0" xfId="0" quotePrefix="1" applyFont="1" applyBorder="1" applyProtection="1"/>
    <xf numFmtId="0" fontId="10" fillId="0" borderId="0" xfId="0" applyFont="1" applyBorder="1" applyProtection="1">
      <protection locked="0"/>
    </xf>
    <xf numFmtId="168" fontId="10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  <protection locked="0"/>
    </xf>
    <xf numFmtId="164" fontId="9" fillId="0" borderId="0" xfId="28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22" xfId="0" applyFont="1" applyFill="1" applyBorder="1" applyAlignment="1" applyProtection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9" fontId="10" fillId="0" borderId="22" xfId="42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1" fontId="10" fillId="0" borderId="37" xfId="0" applyNumberFormat="1" applyFont="1" applyBorder="1" applyAlignment="1">
      <alignment horizontal="right"/>
    </xf>
    <xf numFmtId="171" fontId="10" fillId="0" borderId="78" xfId="0" applyNumberFormat="1" applyFont="1" applyBorder="1" applyAlignment="1" applyProtection="1">
      <alignment horizontal="right"/>
    </xf>
    <xf numFmtId="171" fontId="9" fillId="0" borderId="69" xfId="0" applyNumberFormat="1" applyFont="1" applyBorder="1" applyProtection="1"/>
    <xf numFmtId="171" fontId="9" fillId="0" borderId="79" xfId="0" applyNumberFormat="1" applyFont="1" applyBorder="1" applyProtection="1"/>
    <xf numFmtId="171" fontId="10" fillId="0" borderId="37" xfId="0" applyNumberFormat="1" applyFont="1" applyBorder="1" applyAlignment="1" applyProtection="1">
      <alignment horizontal="right"/>
    </xf>
    <xf numFmtId="171" fontId="10" fillId="0" borderId="78" xfId="0" applyNumberFormat="1" applyFont="1" applyBorder="1"/>
    <xf numFmtId="171" fontId="10" fillId="0" borderId="34" xfId="0" applyNumberFormat="1" applyFont="1" applyFill="1" applyBorder="1"/>
    <xf numFmtId="0" fontId="9" fillId="0" borderId="25" xfId="0" applyFont="1" applyBorder="1"/>
    <xf numFmtId="0" fontId="9" fillId="0" borderId="23" xfId="0" applyFont="1" applyBorder="1"/>
    <xf numFmtId="171" fontId="10" fillId="0" borderId="30" xfId="0" applyNumberFormat="1" applyFont="1" applyFill="1" applyBorder="1"/>
    <xf numFmtId="171" fontId="10" fillId="0" borderId="49" xfId="0" applyNumberFormat="1" applyFont="1" applyBorder="1"/>
    <xf numFmtId="171" fontId="9" fillId="0" borderId="43" xfId="0" applyNumberFormat="1" applyFont="1" applyBorder="1"/>
    <xf numFmtId="9" fontId="9" fillId="0" borderId="43" xfId="42" applyFont="1" applyBorder="1" applyAlignment="1">
      <alignment horizontal="center"/>
    </xf>
    <xf numFmtId="171" fontId="10" fillId="0" borderId="67" xfId="0" applyNumberFormat="1" applyFont="1" applyBorder="1"/>
    <xf numFmtId="0" fontId="9" fillId="0" borderId="11" xfId="0" applyNumberFormat="1" applyFont="1" applyFill="1" applyBorder="1" applyAlignment="1">
      <alignment horizontal="left" indent="1"/>
    </xf>
    <xf numFmtId="0" fontId="9" fillId="0" borderId="11" xfId="0" applyNumberFormat="1" applyFont="1" applyBorder="1" applyAlignment="1">
      <alignment horizontal="left" indent="1"/>
    </xf>
    <xf numFmtId="0" fontId="9" fillId="0" borderId="5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46" xfId="0" applyFont="1" applyBorder="1" applyAlignment="1">
      <alignment horizontal="center" vertical="top"/>
    </xf>
    <xf numFmtId="171" fontId="10" fillId="0" borderId="55" xfId="0" applyNumberFormat="1" applyFont="1" applyBorder="1" applyAlignment="1">
      <alignment vertical="top"/>
    </xf>
    <xf numFmtId="171" fontId="10" fillId="0" borderId="32" xfId="0" applyNumberFormat="1" applyFont="1" applyBorder="1" applyAlignment="1">
      <alignment vertical="top"/>
    </xf>
    <xf numFmtId="171" fontId="10" fillId="0" borderId="31" xfId="0" applyNumberFormat="1" applyFont="1" applyBorder="1" applyAlignment="1">
      <alignment vertical="top"/>
    </xf>
    <xf numFmtId="9" fontId="10" fillId="0" borderId="31" xfId="42" applyFont="1" applyBorder="1" applyAlignment="1">
      <alignment horizontal="center" vertical="top"/>
    </xf>
    <xf numFmtId="171" fontId="10" fillId="0" borderId="47" xfId="0" applyNumberFormat="1" applyFont="1" applyBorder="1" applyAlignment="1">
      <alignment vertical="top"/>
    </xf>
    <xf numFmtId="0" fontId="10" fillId="0" borderId="11" xfId="0" applyNumberFormat="1" applyFont="1" applyBorder="1" applyAlignment="1">
      <alignment wrapText="1"/>
    </xf>
    <xf numFmtId="171" fontId="10" fillId="0" borderId="43" xfId="0" applyNumberFormat="1" applyFont="1" applyBorder="1" applyAlignment="1">
      <alignment vertical="top"/>
    </xf>
    <xf numFmtId="171" fontId="10" fillId="0" borderId="49" xfId="0" applyNumberFormat="1" applyFont="1" applyBorder="1" applyAlignment="1">
      <alignment vertical="top"/>
    </xf>
    <xf numFmtId="171" fontId="10" fillId="0" borderId="60" xfId="0" applyNumberFormat="1" applyFont="1" applyBorder="1" applyAlignment="1">
      <alignment vertical="top"/>
    </xf>
    <xf numFmtId="171" fontId="9" fillId="0" borderId="10" xfId="0" applyNumberFormat="1" applyFont="1" applyFill="1" applyBorder="1"/>
    <xf numFmtId="171" fontId="9" fillId="0" borderId="45" xfId="0" applyNumberFormat="1" applyFont="1" applyFill="1" applyBorder="1"/>
    <xf numFmtId="171" fontId="9" fillId="0" borderId="10" xfId="0" applyNumberFormat="1" applyFont="1" applyFill="1" applyBorder="1" applyProtection="1">
      <protection locked="0"/>
    </xf>
    <xf numFmtId="171" fontId="9" fillId="0" borderId="45" xfId="0" applyNumberFormat="1" applyFont="1" applyFill="1" applyBorder="1" applyProtection="1">
      <protection locked="0"/>
    </xf>
    <xf numFmtId="171" fontId="9" fillId="0" borderId="22" xfId="0" applyNumberFormat="1" applyFont="1" applyFill="1" applyBorder="1" applyProtection="1">
      <protection locked="0"/>
    </xf>
    <xf numFmtId="171" fontId="9" fillId="0" borderId="46" xfId="0" applyNumberFormat="1" applyFont="1" applyFill="1" applyBorder="1" applyProtection="1">
      <protection locked="0"/>
    </xf>
    <xf numFmtId="0" fontId="10" fillId="0" borderId="27" xfId="0" applyFont="1" applyBorder="1" applyAlignment="1">
      <alignment horizontal="left"/>
    </xf>
    <xf numFmtId="0" fontId="9" fillId="0" borderId="11" xfId="0" applyFont="1" applyFill="1" applyBorder="1" applyAlignment="1">
      <alignment horizontal="left" indent="2"/>
    </xf>
    <xf numFmtId="0" fontId="10" fillId="0" borderId="38" xfId="0" applyFont="1" applyBorder="1"/>
    <xf numFmtId="0" fontId="9" fillId="0" borderId="56" xfId="0" applyFont="1" applyBorder="1" applyAlignment="1">
      <alignment horizontal="center"/>
    </xf>
    <xf numFmtId="171" fontId="10" fillId="0" borderId="38" xfId="0" applyNumberFormat="1" applyFont="1" applyFill="1" applyBorder="1"/>
    <xf numFmtId="171" fontId="10" fillId="0" borderId="64" xfId="0" applyNumberFormat="1" applyFont="1" applyFill="1" applyBorder="1"/>
    <xf numFmtId="9" fontId="10" fillId="0" borderId="29" xfId="42" applyFont="1" applyFill="1" applyBorder="1" applyAlignment="1">
      <alignment horizontal="center"/>
    </xf>
    <xf numFmtId="171" fontId="10" fillId="0" borderId="56" xfId="0" applyNumberFormat="1" applyFont="1" applyFill="1" applyBorder="1"/>
    <xf numFmtId="171" fontId="10" fillId="0" borderId="60" xfId="0" applyNumberFormat="1" applyFont="1" applyBorder="1"/>
    <xf numFmtId="171" fontId="10" fillId="0" borderId="31" xfId="0" applyNumberFormat="1" applyFont="1" applyFill="1" applyBorder="1"/>
    <xf numFmtId="0" fontId="9" fillId="0" borderId="37" xfId="0" applyFont="1" applyFill="1" applyBorder="1" applyAlignment="1">
      <alignment horizontal="left" vertical="top" wrapText="1"/>
    </xf>
    <xf numFmtId="0" fontId="10" fillId="0" borderId="11" xfId="0" applyNumberFormat="1" applyFont="1" applyBorder="1"/>
    <xf numFmtId="0" fontId="9" fillId="0" borderId="11" xfId="0" applyNumberFormat="1" applyFont="1" applyBorder="1"/>
    <xf numFmtId="0" fontId="12" fillId="0" borderId="11" xfId="0" applyNumberFormat="1" applyFont="1" applyBorder="1"/>
    <xf numFmtId="0" fontId="10" fillId="0" borderId="38" xfId="0" applyNumberFormat="1" applyFont="1" applyBorder="1"/>
    <xf numFmtId="171" fontId="10" fillId="25" borderId="30" xfId="0" applyNumberFormat="1" applyFont="1" applyFill="1" applyBorder="1"/>
    <xf numFmtId="171" fontId="9" fillId="0" borderId="26" xfId="0" applyNumberFormat="1" applyFont="1" applyFill="1" applyBorder="1" applyProtection="1">
      <protection locked="0"/>
    </xf>
    <xf numFmtId="167" fontId="9" fillId="0" borderId="22" xfId="42" applyNumberFormat="1" applyFont="1" applyFill="1" applyBorder="1" applyAlignment="1" applyProtection="1">
      <alignment horizontal="center" vertical="top" wrapText="1"/>
      <protection locked="0"/>
    </xf>
    <xf numFmtId="171" fontId="9" fillId="0" borderId="43" xfId="0" applyNumberFormat="1" applyFont="1" applyFill="1" applyBorder="1" applyProtection="1">
      <protection locked="0"/>
    </xf>
    <xf numFmtId="167" fontId="9" fillId="0" borderId="43" xfId="42" applyNumberFormat="1" applyFont="1" applyFill="1" applyBorder="1" applyAlignment="1" applyProtection="1">
      <alignment horizontal="center" vertical="top" wrapText="1"/>
      <protection locked="0"/>
    </xf>
    <xf numFmtId="171" fontId="9" fillId="0" borderId="52" xfId="0" applyNumberFormat="1" applyFont="1" applyFill="1" applyBorder="1" applyProtection="1">
      <protection locked="0"/>
    </xf>
    <xf numFmtId="167" fontId="9" fillId="0" borderId="43" xfId="42" applyNumberFormat="1" applyFont="1" applyFill="1" applyBorder="1" applyAlignment="1">
      <alignment horizontal="center" vertical="top" wrapText="1"/>
    </xf>
    <xf numFmtId="167" fontId="10" fillId="0" borderId="43" xfId="42" applyNumberFormat="1" applyFont="1" applyFill="1" applyBorder="1" applyAlignment="1">
      <alignment horizontal="center" vertical="top" wrapText="1"/>
    </xf>
    <xf numFmtId="0" fontId="9" fillId="0" borderId="59" xfId="0" applyFont="1" applyBorder="1"/>
    <xf numFmtId="171" fontId="9" fillId="0" borderId="66" xfId="0" applyNumberFormat="1" applyFont="1" applyBorder="1"/>
    <xf numFmtId="0" fontId="10" fillId="0" borderId="27" xfId="0" applyNumberFormat="1" applyFont="1" applyBorder="1" applyAlignment="1">
      <alignment vertical="center"/>
    </xf>
    <xf numFmtId="0" fontId="10" fillId="0" borderId="40" xfId="0" applyNumberFormat="1" applyFont="1" applyBorder="1" applyAlignment="1">
      <alignment horizontal="left"/>
    </xf>
    <xf numFmtId="0" fontId="10" fillId="0" borderId="35" xfId="0" applyNumberFormat="1" applyFont="1" applyBorder="1" applyAlignment="1">
      <alignment vertical="center"/>
    </xf>
    <xf numFmtId="0" fontId="12" fillId="0" borderId="27" xfId="0" applyFont="1" applyBorder="1"/>
    <xf numFmtId="168" fontId="9" fillId="0" borderId="38" xfId="0" quotePrefix="1" applyNumberFormat="1" applyFont="1" applyBorder="1" applyAlignment="1">
      <alignment horizontal="center"/>
    </xf>
    <xf numFmtId="168" fontId="9" fillId="0" borderId="30" xfId="0" quotePrefix="1" applyNumberFormat="1" applyFont="1" applyBorder="1" applyAlignment="1">
      <alignment horizontal="center"/>
    </xf>
    <xf numFmtId="168" fontId="9" fillId="0" borderId="29" xfId="0" quotePrefix="1" applyNumberFormat="1" applyFont="1" applyBorder="1" applyAlignment="1">
      <alignment horizontal="center"/>
    </xf>
    <xf numFmtId="168" fontId="9" fillId="0" borderId="29" xfId="0" applyNumberFormat="1" applyFont="1" applyBorder="1" applyAlignment="1">
      <alignment horizontal="center"/>
    </xf>
    <xf numFmtId="168" fontId="9" fillId="0" borderId="56" xfId="0" quotePrefix="1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left" indent="1"/>
    </xf>
    <xf numFmtId="0" fontId="12" fillId="0" borderId="11" xfId="0" applyFont="1" applyBorder="1" applyAlignment="1">
      <alignment horizontal="left"/>
    </xf>
    <xf numFmtId="0" fontId="10" fillId="0" borderId="27" xfId="0" applyNumberFormat="1" applyFont="1" applyBorder="1"/>
    <xf numFmtId="0" fontId="10" fillId="0" borderId="27" xfId="0" applyFont="1" applyBorder="1" applyAlignment="1">
      <alignment vertical="center" wrapText="1"/>
    </xf>
    <xf numFmtId="0" fontId="10" fillId="0" borderId="54" xfId="0" applyFont="1" applyBorder="1" applyAlignment="1">
      <alignment horizontal="center"/>
    </xf>
    <xf numFmtId="0" fontId="10" fillId="0" borderId="40" xfId="0" applyFont="1" applyBorder="1" applyAlignment="1">
      <alignment wrapText="1"/>
    </xf>
    <xf numFmtId="171" fontId="9" fillId="0" borderId="67" xfId="0" applyNumberFormat="1" applyFont="1" applyBorder="1"/>
    <xf numFmtId="171" fontId="9" fillId="0" borderId="52" xfId="0" applyNumberFormat="1" applyFont="1" applyBorder="1"/>
    <xf numFmtId="171" fontId="9" fillId="0" borderId="49" xfId="0" applyNumberFormat="1" applyFont="1" applyBorder="1"/>
    <xf numFmtId="0" fontId="13" fillId="0" borderId="11" xfId="0" applyNumberFormat="1" applyFont="1" applyBorder="1" applyAlignment="1">
      <alignment horizontal="left" indent="2"/>
    </xf>
    <xf numFmtId="167" fontId="10" fillId="0" borderId="37" xfId="42" applyNumberFormat="1" applyFont="1" applyFill="1" applyBorder="1" applyAlignment="1">
      <alignment horizontal="center" vertical="top" wrapText="1"/>
    </xf>
    <xf numFmtId="171" fontId="10" fillId="0" borderId="54" xfId="0" applyNumberFormat="1" applyFont="1" applyBorder="1"/>
    <xf numFmtId="171" fontId="10" fillId="0" borderId="62" xfId="0" applyNumberFormat="1" applyFont="1" applyBorder="1"/>
    <xf numFmtId="171" fontId="10" fillId="0" borderId="36" xfId="0" applyNumberFormat="1" applyFont="1" applyBorder="1"/>
    <xf numFmtId="167" fontId="10" fillId="0" borderId="36" xfId="42" applyNumberFormat="1" applyFont="1" applyFill="1" applyBorder="1" applyAlignment="1">
      <alignment horizontal="center" vertical="top" wrapText="1"/>
    </xf>
    <xf numFmtId="171" fontId="10" fillId="0" borderId="51" xfId="0" applyNumberFormat="1" applyFont="1" applyBorder="1"/>
    <xf numFmtId="0" fontId="13" fillId="0" borderId="11" xfId="0" applyFont="1" applyFill="1" applyBorder="1" applyAlignment="1" applyProtection="1">
      <alignment horizontal="left" indent="1"/>
      <protection locked="0"/>
    </xf>
    <xf numFmtId="0" fontId="9" fillId="0" borderId="10" xfId="0" applyFont="1" applyFill="1" applyBorder="1" applyAlignment="1">
      <alignment horizontal="left" indent="1"/>
    </xf>
    <xf numFmtId="0" fontId="10" fillId="0" borderId="10" xfId="0" applyFont="1" applyFill="1" applyBorder="1" applyAlignment="1">
      <alignment wrapText="1"/>
    </xf>
    <xf numFmtId="0" fontId="10" fillId="0" borderId="10" xfId="0" applyFont="1" applyFill="1" applyBorder="1"/>
    <xf numFmtId="0" fontId="13" fillId="0" borderId="0" xfId="0" applyFont="1" applyBorder="1" applyProtection="1"/>
    <xf numFmtId="0" fontId="9" fillId="0" borderId="31" xfId="0" applyFont="1" applyBorder="1" applyAlignment="1">
      <alignment horizontal="center"/>
    </xf>
    <xf numFmtId="0" fontId="10" fillId="0" borderId="35" xfId="0" applyNumberFormat="1" applyFont="1" applyBorder="1" applyAlignment="1">
      <alignment horizontal="left" wrapText="1"/>
    </xf>
    <xf numFmtId="0" fontId="9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73" fontId="5" fillId="0" borderId="11" xfId="0" applyNumberFormat="1" applyFont="1" applyBorder="1" applyAlignment="1">
      <alignment horizontal="left"/>
    </xf>
    <xf numFmtId="172" fontId="9" fillId="0" borderId="45" xfId="42" applyNumberFormat="1" applyFont="1" applyBorder="1"/>
    <xf numFmtId="172" fontId="10" fillId="0" borderId="22" xfId="42" applyNumberFormat="1" applyFont="1" applyBorder="1" applyAlignment="1">
      <alignment vertical="top"/>
    </xf>
    <xf numFmtId="172" fontId="10" fillId="0" borderId="45" xfId="42" applyNumberFormat="1" applyFont="1" applyBorder="1" applyAlignment="1">
      <alignment vertical="top"/>
    </xf>
    <xf numFmtId="172" fontId="10" fillId="0" borderId="43" xfId="42" applyNumberFormat="1" applyFont="1" applyBorder="1"/>
    <xf numFmtId="170" fontId="10" fillId="25" borderId="22" xfId="0" applyNumberFormat="1" applyFont="1" applyFill="1" applyBorder="1"/>
    <xf numFmtId="172" fontId="10" fillId="25" borderId="22" xfId="42" applyNumberFormat="1" applyFont="1" applyFill="1" applyBorder="1"/>
    <xf numFmtId="171" fontId="10" fillId="0" borderId="47" xfId="0" applyNumberFormat="1" applyFont="1" applyFill="1" applyBorder="1"/>
    <xf numFmtId="171" fontId="10" fillId="0" borderId="61" xfId="0" applyNumberFormat="1" applyFont="1" applyFill="1" applyBorder="1"/>
    <xf numFmtId="9" fontId="10" fillId="0" borderId="31" xfId="42" applyFont="1" applyFill="1" applyBorder="1" applyAlignment="1">
      <alignment horizontal="center"/>
    </xf>
    <xf numFmtId="171" fontId="10" fillId="0" borderId="80" xfId="0" applyNumberFormat="1" applyFont="1" applyFill="1" applyBorder="1"/>
    <xf numFmtId="171" fontId="10" fillId="0" borderId="10" xfId="0" applyNumberFormat="1" applyFont="1" applyFill="1" applyBorder="1"/>
    <xf numFmtId="171" fontId="10" fillId="0" borderId="26" xfId="0" applyNumberFormat="1" applyFont="1" applyFill="1" applyBorder="1"/>
    <xf numFmtId="171" fontId="10" fillId="0" borderId="46" xfId="0" applyNumberFormat="1" applyFont="1" applyFill="1" applyBorder="1"/>
    <xf numFmtId="0" fontId="9" fillId="0" borderId="22" xfId="0" applyNumberFormat="1" applyFont="1" applyBorder="1" applyAlignment="1">
      <alignment horizontal="center"/>
    </xf>
    <xf numFmtId="171" fontId="10" fillId="0" borderId="31" xfId="0" applyNumberFormat="1" applyFont="1" applyFill="1" applyBorder="1" applyProtection="1"/>
    <xf numFmtId="171" fontId="10" fillId="0" borderId="47" xfId="0" applyNumberFormat="1" applyFont="1" applyFill="1" applyBorder="1" applyProtection="1"/>
    <xf numFmtId="0" fontId="9" fillId="0" borderId="26" xfId="0" applyNumberFormat="1" applyFont="1" applyFill="1" applyBorder="1" applyAlignment="1" applyProtection="1">
      <alignment horizontal="left" indent="2"/>
    </xf>
    <xf numFmtId="171" fontId="9" fillId="0" borderId="43" xfId="0" applyNumberFormat="1" applyFont="1" applyFill="1" applyBorder="1" applyProtection="1"/>
    <xf numFmtId="171" fontId="9" fillId="0" borderId="52" xfId="0" applyNumberFormat="1" applyFont="1" applyFill="1" applyBorder="1" applyProtection="1"/>
    <xf numFmtId="171" fontId="9" fillId="0" borderId="49" xfId="0" applyNumberFormat="1" applyFont="1" applyFill="1" applyBorder="1" applyProtection="1"/>
    <xf numFmtId="171" fontId="10" fillId="0" borderId="43" xfId="0" applyNumberFormat="1" applyFont="1" applyFill="1" applyBorder="1" applyProtection="1"/>
    <xf numFmtId="171" fontId="10" fillId="0" borderId="78" xfId="0" applyNumberFormat="1" applyFont="1" applyFill="1" applyBorder="1" applyProtection="1"/>
    <xf numFmtId="171" fontId="10" fillId="0" borderId="52" xfId="0" applyNumberFormat="1" applyFont="1" applyFill="1" applyBorder="1" applyProtection="1"/>
    <xf numFmtId="171" fontId="10" fillId="0" borderId="49" xfId="0" applyNumberFormat="1" applyFont="1" applyFill="1" applyBorder="1" applyProtection="1"/>
    <xf numFmtId="0" fontId="10" fillId="0" borderId="11" xfId="0" applyNumberFormat="1" applyFont="1" applyBorder="1" applyProtection="1"/>
    <xf numFmtId="171" fontId="10" fillId="0" borderId="43" xfId="0" applyNumberFormat="1" applyFont="1" applyFill="1" applyBorder="1"/>
    <xf numFmtId="171" fontId="10" fillId="0" borderId="49" xfId="0" applyNumberFormat="1" applyFont="1" applyFill="1" applyBorder="1"/>
    <xf numFmtId="0" fontId="9" fillId="0" borderId="11" xfId="0" applyNumberFormat="1" applyFont="1" applyBorder="1" applyProtection="1"/>
    <xf numFmtId="0" fontId="12" fillId="0" borderId="11" xfId="0" applyNumberFormat="1" applyFont="1" applyBorder="1" applyProtection="1"/>
    <xf numFmtId="0" fontId="15" fillId="0" borderId="22" xfId="0" applyNumberFormat="1" applyFont="1" applyBorder="1" applyAlignment="1" applyProtection="1">
      <alignment horizontal="center"/>
    </xf>
    <xf numFmtId="0" fontId="10" fillId="0" borderId="27" xfId="0" applyNumberFormat="1" applyFont="1" applyBorder="1" applyProtection="1"/>
    <xf numFmtId="0" fontId="9" fillId="0" borderId="29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168" fontId="11" fillId="0" borderId="0" xfId="0" applyNumberFormat="1" applyFont="1" applyBorder="1" applyProtection="1">
      <protection locked="0"/>
    </xf>
    <xf numFmtId="0" fontId="11" fillId="0" borderId="0" xfId="0" applyFont="1" applyBorder="1" applyProtection="1"/>
    <xf numFmtId="168" fontId="11" fillId="0" borderId="0" xfId="0" applyNumberFormat="1" applyFont="1" applyBorder="1" applyProtection="1"/>
    <xf numFmtId="164" fontId="13" fillId="0" borderId="0" xfId="28" applyNumberFormat="1" applyFont="1" applyBorder="1" applyAlignment="1">
      <alignment horizontal="right"/>
    </xf>
    <xf numFmtId="164" fontId="13" fillId="0" borderId="0" xfId="28" applyNumberFormat="1" applyFont="1" applyFill="1" applyBorder="1" applyAlignment="1">
      <alignment horizontal="right"/>
    </xf>
    <xf numFmtId="171" fontId="9" fillId="0" borderId="0" xfId="0" applyNumberFormat="1" applyFont="1"/>
    <xf numFmtId="0" fontId="10" fillId="0" borderId="23" xfId="0" applyFont="1" applyFill="1" applyBorder="1" applyAlignment="1">
      <alignment horizontal="center"/>
    </xf>
    <xf numFmtId="171" fontId="9" fillId="0" borderId="31" xfId="0" applyNumberFormat="1" applyFont="1" applyFill="1" applyBorder="1"/>
    <xf numFmtId="9" fontId="9" fillId="0" borderId="31" xfId="42" applyFont="1" applyFill="1" applyBorder="1" applyAlignment="1">
      <alignment horizontal="center"/>
    </xf>
    <xf numFmtId="171" fontId="10" fillId="0" borderId="24" xfId="0" applyNumberFormat="1" applyFont="1" applyFill="1" applyBorder="1"/>
    <xf numFmtId="168" fontId="11" fillId="0" borderId="0" xfId="0" applyNumberFormat="1" applyFont="1" applyFill="1" applyBorder="1" applyProtection="1">
      <protection locked="0"/>
    </xf>
    <xf numFmtId="168" fontId="11" fillId="0" borderId="0" xfId="0" applyNumberFormat="1" applyFont="1" applyFill="1" applyBorder="1" applyProtection="1"/>
    <xf numFmtId="171" fontId="10" fillId="0" borderId="22" xfId="0" applyNumberFormat="1" applyFont="1" applyFill="1" applyBorder="1" applyProtection="1"/>
    <xf numFmtId="9" fontId="10" fillId="0" borderId="24" xfId="42" applyFont="1" applyFill="1" applyBorder="1" applyAlignment="1">
      <alignment horizontal="center"/>
    </xf>
    <xf numFmtId="171" fontId="10" fillId="0" borderId="50" xfId="0" applyNumberFormat="1" applyFont="1" applyFill="1" applyBorder="1"/>
    <xf numFmtId="171" fontId="10" fillId="0" borderId="58" xfId="0" applyNumberFormat="1" applyFont="1" applyFill="1" applyBorder="1"/>
    <xf numFmtId="171" fontId="10" fillId="0" borderId="46" xfId="0" applyNumberFormat="1" applyFont="1" applyFill="1" applyBorder="1" applyProtection="1"/>
    <xf numFmtId="171" fontId="9" fillId="0" borderId="46" xfId="0" applyNumberFormat="1" applyFont="1" applyFill="1" applyBorder="1" applyProtection="1"/>
    <xf numFmtId="171" fontId="9" fillId="0" borderId="46" xfId="29" applyNumberFormat="1" applyFont="1" applyFill="1" applyBorder="1" applyProtection="1"/>
    <xf numFmtId="171" fontId="10" fillId="0" borderId="55" xfId="0" applyNumberFormat="1" applyFont="1" applyFill="1" applyBorder="1"/>
    <xf numFmtId="171" fontId="9" fillId="0" borderId="13" xfId="0" applyNumberFormat="1" applyFont="1" applyFill="1" applyBorder="1"/>
    <xf numFmtId="0" fontId="0" fillId="0" borderId="0" xfId="0" applyProtection="1"/>
    <xf numFmtId="0" fontId="6" fillId="29" borderId="72" xfId="0" applyFont="1" applyFill="1" applyBorder="1" applyAlignment="1" applyProtection="1">
      <alignment horizontal="center"/>
    </xf>
    <xf numFmtId="171" fontId="9" fillId="0" borderId="10" xfId="0" applyNumberFormat="1" applyFont="1" applyFill="1" applyBorder="1" applyProtection="1"/>
    <xf numFmtId="171" fontId="9" fillId="0" borderId="26" xfId="0" applyNumberFormat="1" applyFont="1" applyFill="1" applyBorder="1" applyProtection="1"/>
    <xf numFmtId="171" fontId="9" fillId="0" borderId="37" xfId="0" applyNumberFormat="1" applyFont="1" applyFill="1" applyBorder="1" applyProtection="1"/>
    <xf numFmtId="171" fontId="9" fillId="0" borderId="54" xfId="0" applyNumberFormat="1" applyFont="1" applyFill="1" applyBorder="1" applyProtection="1"/>
    <xf numFmtId="171" fontId="9" fillId="0" borderId="66" xfId="0" applyNumberFormat="1" applyFont="1" applyFill="1" applyBorder="1" applyProtection="1"/>
    <xf numFmtId="171" fontId="9" fillId="0" borderId="81" xfId="0" applyNumberFormat="1" applyFont="1" applyFill="1" applyBorder="1" applyProtection="1"/>
    <xf numFmtId="171" fontId="9" fillId="0" borderId="51" xfId="0" applyNumberFormat="1" applyFont="1" applyFill="1" applyBorder="1" applyProtection="1"/>
    <xf numFmtId="171" fontId="10" fillId="0" borderId="10" xfId="0" applyNumberFormat="1" applyFont="1" applyFill="1" applyBorder="1" applyAlignment="1" applyProtection="1">
      <alignment vertical="top"/>
    </xf>
    <xf numFmtId="171" fontId="10" fillId="0" borderId="26" xfId="0" applyNumberFormat="1" applyFont="1" applyFill="1" applyBorder="1" applyAlignment="1" applyProtection="1">
      <alignment vertical="top"/>
    </xf>
    <xf numFmtId="171" fontId="10" fillId="0" borderId="22" xfId="0" applyNumberFormat="1" applyFont="1" applyFill="1" applyBorder="1" applyAlignment="1" applyProtection="1">
      <alignment vertical="top"/>
    </xf>
    <xf numFmtId="171" fontId="10" fillId="0" borderId="37" xfId="0" applyNumberFormat="1" applyFont="1" applyFill="1" applyBorder="1" applyAlignment="1" applyProtection="1">
      <alignment vertical="top"/>
    </xf>
    <xf numFmtId="171" fontId="10" fillId="0" borderId="46" xfId="0" applyNumberFormat="1" applyFont="1" applyFill="1" applyBorder="1" applyAlignment="1" applyProtection="1">
      <alignment vertical="top"/>
    </xf>
    <xf numFmtId="171" fontId="10" fillId="0" borderId="54" xfId="0" applyNumberFormat="1" applyFont="1" applyFill="1" applyBorder="1" applyProtection="1"/>
    <xf numFmtId="171" fontId="10" fillId="0" borderId="66" xfId="0" applyNumberFormat="1" applyFont="1" applyFill="1" applyBorder="1" applyProtection="1"/>
    <xf numFmtId="171" fontId="10" fillId="0" borderId="36" xfId="0" applyNumberFormat="1" applyFont="1" applyFill="1" applyBorder="1" applyProtection="1"/>
    <xf numFmtId="171" fontId="10" fillId="0" borderId="81" xfId="0" applyNumberFormat="1" applyFont="1" applyFill="1" applyBorder="1" applyProtection="1"/>
    <xf numFmtId="171" fontId="10" fillId="0" borderId="51" xfId="0" applyNumberFormat="1" applyFont="1" applyFill="1" applyBorder="1" applyProtection="1"/>
    <xf numFmtId="171" fontId="10" fillId="0" borderId="10" xfId="0" applyNumberFormat="1" applyFont="1" applyFill="1" applyBorder="1" applyProtection="1"/>
    <xf numFmtId="171" fontId="10" fillId="0" borderId="26" xfId="0" applyNumberFormat="1" applyFont="1" applyFill="1" applyBorder="1" applyProtection="1"/>
    <xf numFmtId="171" fontId="10" fillId="0" borderId="37" xfId="0" applyNumberFormat="1" applyFont="1" applyFill="1" applyBorder="1" applyProtection="1"/>
    <xf numFmtId="171" fontId="10" fillId="0" borderId="67" xfId="0" applyNumberFormat="1" applyFont="1" applyFill="1" applyBorder="1" applyProtection="1"/>
    <xf numFmtId="171" fontId="10" fillId="0" borderId="45" xfId="0" applyNumberFormat="1" applyFont="1" applyFill="1" applyBorder="1" applyProtection="1"/>
    <xf numFmtId="171" fontId="9" fillId="0" borderId="45" xfId="0" applyNumberFormat="1" applyFont="1" applyFill="1" applyBorder="1" applyProtection="1"/>
    <xf numFmtId="171" fontId="9" fillId="0" borderId="45" xfId="28" applyNumberFormat="1" applyFont="1" applyFill="1" applyBorder="1" applyProtection="1"/>
    <xf numFmtId="171" fontId="9" fillId="0" borderId="22" xfId="28" applyNumberFormat="1" applyFont="1" applyFill="1" applyBorder="1" applyProtection="1"/>
    <xf numFmtId="171" fontId="9" fillId="0" borderId="46" xfId="28" applyNumberFormat="1" applyFont="1" applyFill="1" applyBorder="1" applyProtection="1"/>
    <xf numFmtId="9" fontId="9" fillId="0" borderId="46" xfId="42" applyFont="1" applyFill="1" applyBorder="1" applyAlignment="1" applyProtection="1">
      <alignment horizontal="center"/>
    </xf>
    <xf numFmtId="171" fontId="9" fillId="0" borderId="46" xfId="0" applyNumberFormat="1" applyFont="1" applyFill="1" applyBorder="1" applyAlignment="1" applyProtection="1">
      <alignment horizontal="center"/>
    </xf>
    <xf numFmtId="171" fontId="9" fillId="0" borderId="51" xfId="0" applyNumberFormat="1" applyFont="1" applyFill="1" applyBorder="1" applyAlignment="1" applyProtection="1">
      <alignment horizontal="center"/>
    </xf>
    <xf numFmtId="171" fontId="9" fillId="0" borderId="67" xfId="0" applyNumberFormat="1" applyFont="1" applyFill="1" applyBorder="1" applyProtection="1"/>
    <xf numFmtId="0" fontId="9" fillId="0" borderId="0" xfId="0" applyFont="1" applyFill="1" applyAlignment="1" applyProtection="1">
      <alignment horizontal="center"/>
    </xf>
    <xf numFmtId="164" fontId="9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6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4" fillId="28" borderId="0" xfId="0" applyFont="1" applyFill="1" applyProtection="1">
      <protection locked="0"/>
    </xf>
    <xf numFmtId="0" fontId="37" fillId="0" borderId="14" xfId="0" applyFont="1" applyFill="1" applyBorder="1" applyAlignment="1" applyProtection="1">
      <alignment horizontal="left"/>
    </xf>
    <xf numFmtId="0" fontId="41" fillId="0" borderId="0" xfId="0" applyFont="1"/>
    <xf numFmtId="0" fontId="10" fillId="0" borderId="38" xfId="0" applyNumberFormat="1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164" fontId="13" fillId="0" borderId="0" xfId="28" applyNumberFormat="1" applyFont="1"/>
    <xf numFmtId="0" fontId="10" fillId="24" borderId="65" xfId="0" applyFont="1" applyFill="1" applyBorder="1" applyAlignment="1">
      <alignment horizontal="center" vertical="top" wrapText="1"/>
    </xf>
    <xf numFmtId="0" fontId="10" fillId="24" borderId="3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left" indent="1"/>
    </xf>
    <xf numFmtId="165" fontId="13" fillId="0" borderId="0" xfId="28" applyNumberFormat="1" applyFont="1"/>
    <xf numFmtId="0" fontId="13" fillId="0" borderId="0" xfId="0" applyFont="1" applyAlignment="1">
      <alignment horizontal="center"/>
    </xf>
    <xf numFmtId="0" fontId="40" fillId="0" borderId="26" xfId="0" applyFont="1" applyFill="1" applyBorder="1" applyAlignment="1">
      <alignment horizontal="left" vertical="top" wrapText="1" indent="3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166" fontId="9" fillId="0" borderId="0" xfId="0" applyNumberFormat="1" applyFont="1" applyFill="1"/>
    <xf numFmtId="0" fontId="13" fillId="0" borderId="0" xfId="0" applyFont="1" applyFill="1" applyBorder="1" applyAlignment="1" applyProtection="1">
      <alignment horizontal="right"/>
    </xf>
    <xf numFmtId="167" fontId="10" fillId="0" borderId="0" xfId="42" applyNumberFormat="1" applyFont="1" applyFill="1" applyBorder="1" applyAlignment="1">
      <alignment horizontal="center" vertical="top" wrapText="1"/>
    </xf>
    <xf numFmtId="171" fontId="10" fillId="0" borderId="25" xfId="0" applyNumberFormat="1" applyFont="1" applyBorder="1"/>
    <xf numFmtId="171" fontId="10" fillId="0" borderId="23" xfId="0" applyNumberFormat="1" applyFont="1" applyBorder="1"/>
    <xf numFmtId="171" fontId="10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12" fillId="0" borderId="15" xfId="0" applyNumberFormat="1" applyFont="1" applyBorder="1"/>
    <xf numFmtId="0" fontId="13" fillId="0" borderId="0" xfId="0" applyNumberFormat="1" applyFont="1" applyBorder="1" applyProtection="1"/>
    <xf numFmtId="171" fontId="9" fillId="0" borderId="37" xfId="0" applyNumberFormat="1" applyFont="1" applyBorder="1" applyProtection="1"/>
    <xf numFmtId="171" fontId="9" fillId="0" borderId="26" xfId="0" applyNumberFormat="1" applyFont="1" applyBorder="1" applyProtection="1"/>
    <xf numFmtId="171" fontId="9" fillId="0" borderId="22" xfId="0" applyNumberFormat="1" applyFont="1" applyBorder="1" applyProtection="1"/>
    <xf numFmtId="171" fontId="9" fillId="0" borderId="0" xfId="0" applyNumberFormat="1" applyFont="1" applyBorder="1" applyProtection="1"/>
    <xf numFmtId="171" fontId="9" fillId="0" borderId="13" xfId="0" applyNumberFormat="1" applyFont="1" applyBorder="1" applyProtection="1"/>
    <xf numFmtId="171" fontId="9" fillId="0" borderId="23" xfId="0" applyNumberFormat="1" applyFont="1" applyBorder="1"/>
    <xf numFmtId="9" fontId="9" fillId="0" borderId="23" xfId="42" applyFont="1" applyBorder="1" applyAlignment="1">
      <alignment horizontal="center"/>
    </xf>
    <xf numFmtId="0" fontId="10" fillId="0" borderId="40" xfId="0" applyFont="1" applyBorder="1" applyAlignment="1">
      <alignment horizontal="left"/>
    </xf>
    <xf numFmtId="0" fontId="9" fillId="0" borderId="43" xfId="0" applyNumberFormat="1" applyFont="1" applyBorder="1" applyAlignment="1" applyProtection="1">
      <alignment horizontal="center"/>
      <protection locked="0"/>
    </xf>
    <xf numFmtId="9" fontId="10" fillId="0" borderId="22" xfId="42" applyFont="1" applyFill="1" applyBorder="1" applyAlignment="1">
      <alignment horizontal="center"/>
    </xf>
    <xf numFmtId="167" fontId="10" fillId="25" borderId="29" xfId="42" applyNumberFormat="1" applyFont="1" applyFill="1" applyBorder="1" applyAlignment="1">
      <alignment horizontal="center" vertical="top" wrapText="1"/>
    </xf>
    <xf numFmtId="167" fontId="10" fillId="0" borderId="22" xfId="0" applyNumberFormat="1" applyFont="1" applyBorder="1" applyAlignment="1">
      <alignment horizontal="center"/>
    </xf>
    <xf numFmtId="167" fontId="9" fillId="0" borderId="22" xfId="42" applyNumberFormat="1" applyFont="1" applyBorder="1" applyAlignment="1">
      <alignment horizontal="center"/>
    </xf>
    <xf numFmtId="167" fontId="10" fillId="0" borderId="31" xfId="0" applyNumberFormat="1" applyFont="1" applyBorder="1"/>
    <xf numFmtId="167" fontId="9" fillId="0" borderId="22" xfId="0" applyNumberFormat="1" applyFont="1" applyBorder="1"/>
    <xf numFmtId="167" fontId="10" fillId="0" borderId="43" xfId="42" applyNumberFormat="1" applyFont="1" applyBorder="1" applyAlignment="1">
      <alignment horizontal="center"/>
    </xf>
    <xf numFmtId="167" fontId="10" fillId="0" borderId="29" xfId="42" applyNumberFormat="1" applyFont="1" applyBorder="1" applyAlignment="1">
      <alignment horizontal="center"/>
    </xf>
    <xf numFmtId="171" fontId="10" fillId="0" borderId="47" xfId="42" applyNumberFormat="1" applyFont="1" applyFill="1" applyBorder="1"/>
    <xf numFmtId="0" fontId="5" fillId="32" borderId="39" xfId="0" applyFont="1" applyFill="1" applyBorder="1" applyAlignment="1" applyProtection="1">
      <alignment horizontal="center"/>
      <protection locked="0"/>
    </xf>
    <xf numFmtId="17" fontId="5" fillId="32" borderId="12" xfId="0" quotePrefix="1" applyNumberFormat="1" applyFont="1" applyFill="1" applyBorder="1" applyProtection="1">
      <protection locked="0"/>
    </xf>
    <xf numFmtId="0" fontId="5" fillId="32" borderId="12" xfId="0" applyFont="1" applyFill="1" applyBorder="1" applyProtection="1">
      <protection locked="0"/>
    </xf>
    <xf numFmtId="0" fontId="5" fillId="32" borderId="65" xfId="0" applyFont="1" applyFill="1" applyBorder="1" applyProtection="1">
      <protection locked="0"/>
    </xf>
    <xf numFmtId="0" fontId="5" fillId="32" borderId="10" xfId="0" applyFont="1" applyFill="1" applyBorder="1" applyAlignment="1" applyProtection="1">
      <alignment horizontal="center"/>
      <protection locked="0"/>
    </xf>
    <xf numFmtId="0" fontId="5" fillId="32" borderId="0" xfId="0" applyFont="1" applyFill="1" applyBorder="1" applyProtection="1">
      <protection locked="0"/>
    </xf>
    <xf numFmtId="0" fontId="5" fillId="32" borderId="13" xfId="0" applyFont="1" applyFill="1" applyBorder="1" applyProtection="1">
      <protection locked="0"/>
    </xf>
    <xf numFmtId="0" fontId="5" fillId="32" borderId="13" xfId="0" applyFont="1" applyFill="1" applyBorder="1" applyAlignment="1" applyProtection="1">
      <alignment horizontal="center"/>
      <protection locked="0"/>
    </xf>
    <xf numFmtId="0" fontId="6" fillId="32" borderId="72" xfId="0" applyFont="1" applyFill="1" applyBorder="1" applyAlignment="1" applyProtection="1">
      <alignment horizontal="center"/>
      <protection locked="0"/>
    </xf>
    <xf numFmtId="0" fontId="5" fillId="32" borderId="0" xfId="0" applyFont="1" applyFill="1" applyAlignment="1" applyProtection="1">
      <alignment horizontal="center"/>
      <protection locked="0"/>
    </xf>
    <xf numFmtId="0" fontId="5" fillId="32" borderId="0" xfId="0" applyFont="1" applyFill="1" applyProtection="1">
      <protection locked="0"/>
    </xf>
    <xf numFmtId="0" fontId="5" fillId="32" borderId="0" xfId="0" applyFont="1" applyFill="1" applyAlignment="1" applyProtection="1">
      <alignment horizontal="left"/>
      <protection locked="0"/>
    </xf>
    <xf numFmtId="171" fontId="9" fillId="32" borderId="22" xfId="0" applyNumberFormat="1" applyFont="1" applyFill="1" applyBorder="1" applyProtection="1">
      <protection locked="0"/>
    </xf>
    <xf numFmtId="171" fontId="9" fillId="32" borderId="43" xfId="0" applyNumberFormat="1" applyFont="1" applyFill="1" applyBorder="1" applyProtection="1">
      <protection locked="0"/>
    </xf>
    <xf numFmtId="171" fontId="9" fillId="32" borderId="46" xfId="0" applyNumberFormat="1" applyFont="1" applyFill="1" applyBorder="1" applyProtection="1">
      <protection locked="0"/>
    </xf>
    <xf numFmtId="171" fontId="9" fillId="32" borderId="49" xfId="0" applyNumberFormat="1" applyFont="1" applyFill="1" applyBorder="1" applyProtection="1">
      <protection locked="0"/>
    </xf>
    <xf numFmtId="171" fontId="10" fillId="32" borderId="43" xfId="0" applyNumberFormat="1" applyFont="1" applyFill="1" applyBorder="1" applyProtection="1">
      <protection locked="0"/>
    </xf>
    <xf numFmtId="171" fontId="10" fillId="32" borderId="49" xfId="0" applyNumberFormat="1" applyFont="1" applyFill="1" applyBorder="1" applyProtection="1">
      <protection locked="0"/>
    </xf>
    <xf numFmtId="171" fontId="9" fillId="32" borderId="37" xfId="0" applyNumberFormat="1" applyFont="1" applyFill="1" applyBorder="1" applyAlignment="1" applyProtection="1">
      <alignment horizontal="right"/>
      <protection locked="0"/>
    </xf>
    <xf numFmtId="171" fontId="9" fillId="32" borderId="26" xfId="0" applyNumberFormat="1" applyFont="1" applyFill="1" applyBorder="1" applyAlignment="1" applyProtection="1">
      <alignment horizontal="right"/>
      <protection locked="0"/>
    </xf>
    <xf numFmtId="171" fontId="9" fillId="32" borderId="22" xfId="0" applyNumberFormat="1" applyFont="1" applyFill="1" applyBorder="1" applyAlignment="1" applyProtection="1">
      <alignment horizontal="right"/>
      <protection locked="0"/>
    </xf>
    <xf numFmtId="171" fontId="9" fillId="32" borderId="0" xfId="0" applyNumberFormat="1" applyFont="1" applyFill="1" applyBorder="1" applyAlignment="1" applyProtection="1">
      <alignment horizontal="right"/>
      <protection locked="0"/>
    </xf>
    <xf numFmtId="171" fontId="9" fillId="32" borderId="13" xfId="0" applyNumberFormat="1" applyFont="1" applyFill="1" applyBorder="1" applyAlignment="1" applyProtection="1">
      <alignment horizontal="right"/>
      <protection locked="0"/>
    </xf>
    <xf numFmtId="171" fontId="9" fillId="32" borderId="37" xfId="0" applyNumberFormat="1" applyFont="1" applyFill="1" applyBorder="1" applyProtection="1">
      <protection locked="0"/>
    </xf>
    <xf numFmtId="171" fontId="9" fillId="32" borderId="26" xfId="0" applyNumberFormat="1" applyFont="1" applyFill="1" applyBorder="1" applyProtection="1">
      <protection locked="0"/>
    </xf>
    <xf numFmtId="171" fontId="9" fillId="32" borderId="0" xfId="0" applyNumberFormat="1" applyFont="1" applyFill="1" applyBorder="1" applyProtection="1">
      <protection locked="0"/>
    </xf>
    <xf numFmtId="171" fontId="9" fillId="32" borderId="13" xfId="0" applyNumberFormat="1" applyFont="1" applyFill="1" applyBorder="1" applyProtection="1">
      <protection locked="0"/>
    </xf>
    <xf numFmtId="171" fontId="9" fillId="32" borderId="10" xfId="0" applyNumberFormat="1" applyFont="1" applyFill="1" applyBorder="1" applyProtection="1">
      <protection locked="0"/>
    </xf>
    <xf numFmtId="171" fontId="9" fillId="32" borderId="54" xfId="0" applyNumberFormat="1" applyFont="1" applyFill="1" applyBorder="1" applyProtection="1">
      <protection locked="0"/>
    </xf>
    <xf numFmtId="171" fontId="9" fillId="32" borderId="66" xfId="0" applyNumberFormat="1" applyFont="1" applyFill="1" applyBorder="1" applyProtection="1">
      <protection locked="0"/>
    </xf>
    <xf numFmtId="171" fontId="9" fillId="32" borderId="36" xfId="0" applyNumberFormat="1" applyFont="1" applyFill="1" applyBorder="1" applyProtection="1">
      <protection locked="0"/>
    </xf>
    <xf numFmtId="171" fontId="9" fillId="32" borderId="51" xfId="0" applyNumberFormat="1" applyFont="1" applyFill="1" applyBorder="1" applyProtection="1">
      <protection locked="0"/>
    </xf>
    <xf numFmtId="171" fontId="9" fillId="32" borderId="45" xfId="0" applyNumberFormat="1" applyFont="1" applyFill="1" applyBorder="1" applyProtection="1">
      <protection locked="0"/>
    </xf>
    <xf numFmtId="171" fontId="9" fillId="32" borderId="46" xfId="28" applyNumberFormat="1" applyFont="1" applyFill="1" applyBorder="1" applyProtection="1">
      <protection locked="0"/>
    </xf>
    <xf numFmtId="171" fontId="9" fillId="32" borderId="45" xfId="28" applyNumberFormat="1" applyFont="1" applyFill="1" applyBorder="1" applyProtection="1">
      <protection locked="0"/>
    </xf>
    <xf numFmtId="171" fontId="9" fillId="32" borderId="22" xfId="28" applyNumberFormat="1" applyFont="1" applyFill="1" applyBorder="1" applyProtection="1">
      <protection locked="0"/>
    </xf>
    <xf numFmtId="171" fontId="9" fillId="32" borderId="62" xfId="0" applyNumberFormat="1" applyFont="1" applyFill="1" applyBorder="1" applyProtection="1">
      <protection locked="0"/>
    </xf>
    <xf numFmtId="0" fontId="9" fillId="32" borderId="10" xfId="0" applyFont="1" applyFill="1" applyBorder="1" applyProtection="1">
      <protection locked="0"/>
    </xf>
    <xf numFmtId="0" fontId="9" fillId="32" borderId="19" xfId="0" applyFont="1" applyFill="1" applyBorder="1" applyProtection="1">
      <protection locked="0"/>
    </xf>
    <xf numFmtId="171" fontId="9" fillId="32" borderId="19" xfId="0" applyNumberFormat="1" applyFont="1" applyFill="1" applyBorder="1" applyProtection="1">
      <protection locked="0"/>
    </xf>
    <xf numFmtId="167" fontId="9" fillId="32" borderId="10" xfId="42" applyNumberFormat="1" applyFont="1" applyFill="1" applyBorder="1" applyAlignment="1" applyProtection="1">
      <alignment horizontal="center" vertical="top" wrapText="1"/>
      <protection locked="0"/>
    </xf>
    <xf numFmtId="167" fontId="9" fillId="32" borderId="45" xfId="42" applyNumberFormat="1" applyFont="1" applyFill="1" applyBorder="1" applyAlignment="1" applyProtection="1">
      <alignment horizontal="center" vertical="top" wrapText="1"/>
      <protection locked="0"/>
    </xf>
    <xf numFmtId="167" fontId="9" fillId="32" borderId="22" xfId="42" applyNumberFormat="1" applyFont="1" applyFill="1" applyBorder="1" applyAlignment="1" applyProtection="1">
      <alignment horizontal="center" vertical="top" wrapText="1"/>
      <protection locked="0"/>
    </xf>
    <xf numFmtId="167" fontId="9" fillId="32" borderId="46" xfId="42" applyNumberFormat="1" applyFont="1" applyFill="1" applyBorder="1" applyAlignment="1" applyProtection="1">
      <alignment horizontal="center" vertical="top" wrapText="1"/>
      <protection locked="0"/>
    </xf>
    <xf numFmtId="167" fontId="9" fillId="32" borderId="19" xfId="42" applyNumberFormat="1" applyFont="1" applyFill="1" applyBorder="1" applyAlignment="1" applyProtection="1">
      <alignment horizontal="center" vertical="top" wrapText="1"/>
      <protection locked="0"/>
    </xf>
    <xf numFmtId="167" fontId="9" fillId="32" borderId="58" xfId="42" applyNumberFormat="1" applyFont="1" applyFill="1" applyBorder="1" applyAlignment="1" applyProtection="1">
      <alignment horizontal="center" vertical="top" wrapText="1"/>
      <protection locked="0"/>
    </xf>
    <xf numFmtId="167" fontId="9" fillId="32" borderId="24" xfId="42" applyNumberFormat="1" applyFont="1" applyFill="1" applyBorder="1" applyAlignment="1" applyProtection="1">
      <alignment horizontal="center" vertical="top" wrapText="1"/>
      <protection locked="0"/>
    </xf>
    <xf numFmtId="167" fontId="9" fillId="32" borderId="50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0" xfId="0" applyNumberFormat="1" applyFont="1" applyFill="1" applyBorder="1" applyProtection="1">
      <protection locked="0"/>
    </xf>
    <xf numFmtId="168" fontId="9" fillId="32" borderId="13" xfId="0" applyNumberFormat="1" applyFont="1" applyFill="1" applyBorder="1" applyProtection="1">
      <protection locked="0"/>
    </xf>
    <xf numFmtId="168" fontId="9" fillId="32" borderId="0" xfId="28" applyNumberFormat="1" applyFont="1" applyFill="1" applyBorder="1" applyProtection="1">
      <protection locked="0"/>
    </xf>
    <xf numFmtId="168" fontId="9" fillId="32" borderId="13" xfId="28" applyNumberFormat="1" applyFont="1" applyFill="1" applyBorder="1" applyProtection="1">
      <protection locked="0"/>
    </xf>
    <xf numFmtId="168" fontId="9" fillId="32" borderId="14" xfId="28" applyNumberFormat="1" applyFont="1" applyFill="1" applyBorder="1" applyProtection="1">
      <protection locked="0"/>
    </xf>
    <xf numFmtId="168" fontId="9" fillId="32" borderId="14" xfId="0" applyNumberFormat="1" applyFont="1" applyFill="1" applyBorder="1" applyProtection="1">
      <protection locked="0"/>
    </xf>
    <xf numFmtId="168" fontId="9" fillId="32" borderId="17" xfId="0" applyNumberFormat="1" applyFont="1" applyFill="1" applyBorder="1" applyProtection="1">
      <protection locked="0"/>
    </xf>
    <xf numFmtId="0" fontId="9" fillId="32" borderId="11" xfId="0" applyFont="1" applyFill="1" applyBorder="1" applyProtection="1">
      <protection locked="0"/>
    </xf>
    <xf numFmtId="0" fontId="9" fillId="32" borderId="11" xfId="0" applyNumberFormat="1" applyFont="1" applyFill="1" applyBorder="1" applyAlignment="1" applyProtection="1">
      <alignment horizontal="left" indent="1"/>
      <protection locked="0"/>
    </xf>
    <xf numFmtId="0" fontId="9" fillId="32" borderId="11" xfId="0" applyFont="1" applyFill="1" applyBorder="1" applyAlignment="1" applyProtection="1">
      <alignment horizontal="left" indent="2"/>
      <protection locked="0"/>
    </xf>
    <xf numFmtId="171" fontId="9" fillId="32" borderId="67" xfId="0" applyNumberFormat="1" applyFont="1" applyFill="1" applyBorder="1" applyProtection="1">
      <protection locked="0"/>
    </xf>
    <xf numFmtId="171" fontId="9" fillId="32" borderId="52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2"/>
      <protection locked="0"/>
    </xf>
    <xf numFmtId="0" fontId="9" fillId="32" borderId="0" xfId="0" applyFont="1" applyFill="1" applyProtection="1">
      <protection locked="0"/>
    </xf>
    <xf numFmtId="171" fontId="10" fillId="32" borderId="67" xfId="0" applyNumberFormat="1" applyFont="1" applyFill="1" applyBorder="1" applyProtection="1">
      <protection locked="0"/>
    </xf>
    <xf numFmtId="171" fontId="10" fillId="32" borderId="52" xfId="0" applyNumberFormat="1" applyFont="1" applyFill="1" applyBorder="1" applyProtection="1">
      <protection locked="0"/>
    </xf>
    <xf numFmtId="0" fontId="13" fillId="32" borderId="0" xfId="0" applyFont="1" applyFill="1" applyBorder="1" applyAlignment="1" applyProtection="1">
      <alignment horizontal="left" indent="2"/>
      <protection locked="0"/>
    </xf>
    <xf numFmtId="171" fontId="10" fillId="32" borderId="10" xfId="0" applyNumberFormat="1" applyFont="1" applyFill="1" applyBorder="1" applyProtection="1">
      <protection locked="0"/>
    </xf>
    <xf numFmtId="171" fontId="10" fillId="32" borderId="26" xfId="0" applyNumberFormat="1" applyFont="1" applyFill="1" applyBorder="1" applyProtection="1">
      <protection locked="0"/>
    </xf>
    <xf numFmtId="171" fontId="10" fillId="32" borderId="22" xfId="0" applyNumberFormat="1" applyFont="1" applyFill="1" applyBorder="1" applyProtection="1">
      <protection locked="0"/>
    </xf>
    <xf numFmtId="171" fontId="10" fillId="32" borderId="46" xfId="0" applyNumberFormat="1" applyFont="1" applyFill="1" applyBorder="1" applyProtection="1">
      <protection locked="0"/>
    </xf>
    <xf numFmtId="0" fontId="10" fillId="32" borderId="62" xfId="0" applyFont="1" applyFill="1" applyBorder="1" applyAlignment="1" applyProtection="1">
      <alignment horizontal="center" vertical="center"/>
      <protection locked="0"/>
    </xf>
    <xf numFmtId="0" fontId="10" fillId="32" borderId="36" xfId="0" applyFont="1" applyFill="1" applyBorder="1" applyAlignment="1" applyProtection="1">
      <alignment horizontal="center" vertical="center"/>
      <protection locked="0"/>
    </xf>
    <xf numFmtId="0" fontId="10" fillId="32" borderId="81" xfId="0" applyFont="1" applyFill="1" applyBorder="1" applyAlignment="1" applyProtection="1">
      <alignment horizontal="center" vertical="center"/>
      <protection locked="0"/>
    </xf>
    <xf numFmtId="0" fontId="13" fillId="32" borderId="11" xfId="0" applyFont="1" applyFill="1" applyBorder="1" applyProtection="1">
      <protection locked="0"/>
    </xf>
    <xf numFmtId="171" fontId="10" fillId="32" borderId="54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1"/>
      <protection locked="0"/>
    </xf>
    <xf numFmtId="171" fontId="9" fillId="32" borderId="33" xfId="0" applyNumberFormat="1" applyFont="1" applyFill="1" applyBorder="1" applyProtection="1">
      <protection locked="0"/>
    </xf>
    <xf numFmtId="171" fontId="9" fillId="32" borderId="24" xfId="0" applyNumberFormat="1" applyFont="1" applyFill="1" applyBorder="1" applyProtection="1">
      <protection locked="0"/>
    </xf>
    <xf numFmtId="171" fontId="9" fillId="32" borderId="50" xfId="0" applyNumberFormat="1" applyFont="1" applyFill="1" applyBorder="1" applyProtection="1">
      <protection locked="0"/>
    </xf>
    <xf numFmtId="12" fontId="9" fillId="32" borderId="82" xfId="0" applyNumberFormat="1" applyFont="1" applyFill="1" applyBorder="1" applyProtection="1">
      <protection locked="0"/>
    </xf>
    <xf numFmtId="12" fontId="9" fillId="32" borderId="83" xfId="0" applyNumberFormat="1" applyFont="1" applyFill="1" applyBorder="1" applyProtection="1">
      <protection locked="0"/>
    </xf>
    <xf numFmtId="12" fontId="9" fillId="32" borderId="84" xfId="0" applyNumberFormat="1" applyFont="1" applyFill="1" applyBorder="1" applyProtection="1">
      <protection locked="0"/>
    </xf>
    <xf numFmtId="171" fontId="9" fillId="0" borderId="72" xfId="0" applyNumberFormat="1" applyFont="1" applyBorder="1"/>
    <xf numFmtId="0" fontId="48" fillId="33" borderId="0" xfId="0" applyFont="1" applyFill="1" applyProtection="1"/>
    <xf numFmtId="0" fontId="40" fillId="33" borderId="0" xfId="0" applyFont="1" applyFill="1" applyProtection="1">
      <protection locked="0"/>
    </xf>
    <xf numFmtId="0" fontId="48" fillId="33" borderId="0" xfId="0" applyFont="1" applyFill="1" applyAlignment="1" applyProtection="1">
      <alignment horizontal="right"/>
    </xf>
    <xf numFmtId="0" fontId="48" fillId="33" borderId="11" xfId="0" applyFont="1" applyFill="1" applyBorder="1" applyAlignment="1" applyProtection="1">
      <alignment horizontal="left" indent="1"/>
      <protection locked="0"/>
    </xf>
    <xf numFmtId="0" fontId="40" fillId="32" borderId="0" xfId="0" applyFont="1" applyFill="1" applyAlignment="1" applyProtection="1">
      <alignment horizontal="left" indent="1"/>
      <protection locked="0"/>
    </xf>
    <xf numFmtId="49" fontId="48" fillId="33" borderId="0" xfId="0" applyNumberFormat="1" applyFont="1" applyFill="1" applyAlignment="1" applyProtection="1">
      <alignment horizontal="right"/>
    </xf>
    <xf numFmtId="0" fontId="43" fillId="32" borderId="72" xfId="0" applyFont="1" applyFill="1" applyBorder="1" applyProtection="1">
      <protection locked="0"/>
    </xf>
    <xf numFmtId="49" fontId="49" fillId="33" borderId="0" xfId="0" applyNumberFormat="1" applyFont="1" applyFill="1" applyAlignment="1" applyProtection="1">
      <alignment horizontal="right"/>
    </xf>
    <xf numFmtId="0" fontId="49" fillId="33" borderId="0" xfId="0" applyFont="1" applyFill="1" applyAlignment="1" applyProtection="1">
      <alignment horizontal="right"/>
    </xf>
    <xf numFmtId="0" fontId="48" fillId="33" borderId="0" xfId="0" applyFont="1" applyFill="1" applyProtection="1">
      <protection locked="0"/>
    </xf>
    <xf numFmtId="0" fontId="50" fillId="33" borderId="0" xfId="0" applyFont="1" applyFill="1" applyProtection="1"/>
    <xf numFmtId="0" fontId="44" fillId="33" borderId="0" xfId="0" applyFont="1" applyFill="1" applyProtection="1"/>
    <xf numFmtId="0" fontId="51" fillId="33" borderId="0" xfId="0" applyFont="1" applyFill="1" applyAlignment="1" applyProtection="1">
      <alignment horizontal="right"/>
    </xf>
    <xf numFmtId="0" fontId="9" fillId="0" borderId="26" xfId="0" applyFont="1" applyFill="1" applyBorder="1" applyAlignment="1" applyProtection="1">
      <alignment horizontal="left" indent="1"/>
    </xf>
    <xf numFmtId="0" fontId="10" fillId="0" borderId="26" xfId="0" applyFont="1" applyFill="1" applyBorder="1" applyAlignment="1" applyProtection="1">
      <alignment horizontal="left" indent="1"/>
    </xf>
    <xf numFmtId="0" fontId="19" fillId="0" borderId="17" xfId="0" applyFont="1" applyBorder="1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Border="1" applyProtection="1">
      <protection hidden="1"/>
    </xf>
    <xf numFmtId="0" fontId="19" fillId="0" borderId="13" xfId="0" applyFont="1" applyBorder="1" applyProtection="1">
      <protection hidden="1"/>
    </xf>
    <xf numFmtId="0" fontId="45" fillId="0" borderId="0" xfId="0" applyFont="1" applyBorder="1" applyProtection="1">
      <protection hidden="1"/>
    </xf>
    <xf numFmtId="0" fontId="46" fillId="0" borderId="13" xfId="0" applyFont="1" applyBorder="1" applyProtection="1">
      <protection hidden="1"/>
    </xf>
    <xf numFmtId="0" fontId="8" fillId="0" borderId="85" xfId="0" applyFont="1" applyBorder="1" applyAlignment="1" applyProtection="1">
      <alignment horizontal="left" vertical="top" wrapText="1"/>
    </xf>
    <xf numFmtId="0" fontId="8" fillId="32" borderId="86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quotePrefix="1" applyNumberFormat="1" applyFont="1" applyProtection="1"/>
    <xf numFmtId="0" fontId="19" fillId="0" borderId="0" xfId="0" applyFont="1" applyAlignment="1">
      <alignment wrapText="1"/>
    </xf>
    <xf numFmtId="0" fontId="19" fillId="0" borderId="0" xfId="0" applyNumberFormat="1" applyFont="1" applyProtection="1"/>
    <xf numFmtId="0" fontId="8" fillId="0" borderId="16" xfId="0" applyFont="1" applyFill="1" applyBorder="1" applyAlignment="1" applyProtection="1">
      <alignment horizontal="left" vertical="top" wrapText="1"/>
    </xf>
    <xf numFmtId="0" fontId="8" fillId="0" borderId="17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vertical="center"/>
    </xf>
    <xf numFmtId="0" fontId="8" fillId="0" borderId="15" xfId="0" applyFont="1" applyBorder="1" applyAlignment="1">
      <alignment vertical="center"/>
    </xf>
    <xf numFmtId="0" fontId="19" fillId="32" borderId="65" xfId="0" applyFont="1" applyFill="1" applyBorder="1" applyAlignment="1" applyProtection="1">
      <alignment vertical="center"/>
      <protection locked="0"/>
    </xf>
    <xf numFmtId="0" fontId="13" fillId="0" borderId="0" xfId="36" applyFont="1" applyAlignment="1" applyProtection="1"/>
    <xf numFmtId="0" fontId="19" fillId="0" borderId="0" xfId="0" applyFont="1" applyBorder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8" fillId="0" borderId="1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6" xfId="0" applyFont="1" applyFill="1" applyBorder="1" applyAlignment="1" applyProtection="1">
      <alignment horizontal="justify" vertical="center" wrapText="1"/>
    </xf>
    <xf numFmtId="0" fontId="8" fillId="0" borderId="17" xfId="0" applyFont="1" applyFill="1" applyBorder="1" applyAlignment="1" applyProtection="1">
      <alignment horizontal="justify" vertical="center" wrapText="1"/>
    </xf>
    <xf numFmtId="0" fontId="8" fillId="0" borderId="11" xfId="0" applyFont="1" applyFill="1" applyBorder="1" applyAlignment="1" applyProtection="1">
      <alignment horizontal="left" vertical="top" wrapText="1"/>
    </xf>
    <xf numFmtId="0" fontId="19" fillId="0" borderId="0" xfId="36" applyFont="1" applyBorder="1" applyAlignment="1" applyProtection="1"/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Fill="1" applyBorder="1" applyAlignment="1" applyProtection="1">
      <alignment horizontal="justify" vertical="top" wrapText="1"/>
    </xf>
    <xf numFmtId="0" fontId="8" fillId="0" borderId="17" xfId="0" applyFont="1" applyBorder="1" applyAlignment="1" applyProtection="1">
      <alignment horizontal="justify" vertical="top" wrapText="1"/>
    </xf>
    <xf numFmtId="0" fontId="8" fillId="32" borderId="1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0" fontId="19" fillId="0" borderId="16" xfId="0" applyFont="1" applyBorder="1" applyAlignment="1" applyProtection="1">
      <alignment horizontal="justify" vertical="top" wrapText="1"/>
    </xf>
    <xf numFmtId="0" fontId="19" fillId="0" borderId="17" xfId="0" applyFont="1" applyBorder="1" applyAlignment="1" applyProtection="1">
      <alignment horizontal="justify" vertical="top" wrapText="1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8" fillId="0" borderId="85" xfId="0" applyFont="1" applyBorder="1" applyAlignment="1" applyProtection="1">
      <alignment horizontal="justify" wrapText="1"/>
    </xf>
    <xf numFmtId="0" fontId="19" fillId="0" borderId="86" xfId="0" applyFont="1" applyBorder="1" applyAlignment="1" applyProtection="1">
      <alignment horizontal="justify" wrapText="1"/>
    </xf>
    <xf numFmtId="0" fontId="19" fillId="0" borderId="68" xfId="0" applyFont="1" applyBorder="1" applyAlignment="1" applyProtection="1">
      <alignment horizontal="justify" wrapText="1"/>
    </xf>
    <xf numFmtId="0" fontId="19" fillId="32" borderId="18" xfId="0" applyFont="1" applyFill="1" applyBorder="1" applyAlignment="1" applyProtection="1">
      <alignment horizontal="justify" wrapText="1"/>
      <protection locked="0"/>
    </xf>
    <xf numFmtId="0" fontId="19" fillId="0" borderId="15" xfId="0" applyFont="1" applyBorder="1" applyAlignment="1" applyProtection="1">
      <alignment horizontal="justify" wrapText="1"/>
    </xf>
    <xf numFmtId="174" fontId="19" fillId="32" borderId="65" xfId="0" applyNumberFormat="1" applyFont="1" applyFill="1" applyBorder="1" applyAlignment="1" applyProtection="1">
      <alignment horizontal="justify" wrapText="1"/>
      <protection locked="0"/>
    </xf>
    <xf numFmtId="0" fontId="19" fillId="0" borderId="16" xfId="0" applyFont="1" applyFill="1" applyBorder="1" applyAlignment="1" applyProtection="1">
      <alignment horizontal="justify" wrapText="1"/>
    </xf>
    <xf numFmtId="174" fontId="19" fillId="0" borderId="17" xfId="0" applyNumberFormat="1" applyFont="1" applyFill="1" applyBorder="1" applyAlignment="1" applyProtection="1">
      <alignment horizontal="justify" wrapText="1"/>
      <protection locked="0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 applyProtection="1">
      <alignment horizontal="justify" wrapText="1"/>
    </xf>
    <xf numFmtId="0" fontId="19" fillId="0" borderId="0" xfId="0" applyFont="1" applyFill="1" applyProtection="1">
      <protection hidden="1"/>
    </xf>
    <xf numFmtId="0" fontId="19" fillId="0" borderId="18" xfId="0" applyFont="1" applyFill="1" applyBorder="1" applyAlignment="1" applyProtection="1">
      <alignment horizontal="justify" wrapText="1"/>
    </xf>
    <xf numFmtId="0" fontId="19" fillId="32" borderId="65" xfId="0" applyFont="1" applyFill="1" applyBorder="1" applyAlignment="1" applyProtection="1">
      <alignment horizontal="justify" wrapText="1"/>
      <protection locked="0"/>
    </xf>
    <xf numFmtId="0" fontId="19" fillId="0" borderId="17" xfId="0" applyFont="1" applyFill="1" applyBorder="1" applyAlignment="1" applyProtection="1">
      <alignment horizontal="justify" wrapText="1"/>
      <protection locked="0"/>
    </xf>
    <xf numFmtId="0" fontId="19" fillId="32" borderId="18" xfId="0" applyNumberFormat="1" applyFont="1" applyFill="1" applyBorder="1" applyAlignment="1" applyProtection="1">
      <alignment horizontal="justify" wrapText="1"/>
      <protection locked="0"/>
    </xf>
    <xf numFmtId="0" fontId="19" fillId="0" borderId="11" xfId="0" applyFont="1" applyBorder="1" applyAlignment="1" applyProtection="1">
      <alignment horizontal="justify" wrapText="1"/>
    </xf>
    <xf numFmtId="0" fontId="19" fillId="32" borderId="13" xfId="0" applyFont="1" applyFill="1" applyBorder="1" applyAlignment="1" applyProtection="1">
      <alignment horizontal="justify" wrapText="1"/>
      <protection locked="0"/>
    </xf>
    <xf numFmtId="0" fontId="8" fillId="0" borderId="0" xfId="0" applyFont="1" applyBorder="1" applyProtection="1"/>
    <xf numFmtId="0" fontId="8" fillId="0" borderId="0" xfId="0" quotePrefix="1" applyNumberFormat="1" applyFont="1" applyBorder="1" applyProtection="1"/>
    <xf numFmtId="0" fontId="19" fillId="0" borderId="0" xfId="0" applyFont="1" applyBorder="1" applyProtection="1"/>
    <xf numFmtId="0" fontId="8" fillId="0" borderId="68" xfId="0" applyFont="1" applyBorder="1" applyAlignment="1" applyProtection="1">
      <alignment horizontal="left"/>
    </xf>
    <xf numFmtId="0" fontId="19" fillId="0" borderId="0" xfId="0" applyFont="1" applyBorder="1"/>
    <xf numFmtId="0" fontId="19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 applyProtection="1">
      <alignment horizontal="justify" wrapText="1"/>
      <protection locked="0"/>
    </xf>
    <xf numFmtId="0" fontId="13" fillId="0" borderId="0" xfId="0" applyFont="1" applyProtection="1"/>
    <xf numFmtId="0" fontId="13" fillId="0" borderId="0" xfId="0" applyFont="1" applyProtection="1">
      <protection hidden="1"/>
    </xf>
    <xf numFmtId="0" fontId="19" fillId="0" borderId="0" xfId="36" applyFont="1" applyAlignment="1" applyProtection="1">
      <protection hidden="1"/>
    </xf>
    <xf numFmtId="0" fontId="47" fillId="0" borderId="0" xfId="36" applyFont="1" applyAlignment="1" applyProtection="1">
      <protection hidden="1"/>
    </xf>
    <xf numFmtId="0" fontId="19" fillId="0" borderId="0" xfId="0" applyFont="1" applyProtection="1">
      <protection locked="0" hidden="1"/>
    </xf>
    <xf numFmtId="0" fontId="19" fillId="0" borderId="0" xfId="0" applyFont="1" applyProtection="1">
      <protection locked="0"/>
    </xf>
    <xf numFmtId="0" fontId="47" fillId="0" borderId="0" xfId="36" applyFont="1" applyAlignment="1" applyProtection="1">
      <protection locked="0" hidden="1"/>
    </xf>
    <xf numFmtId="0" fontId="19" fillId="0" borderId="0" xfId="0" applyFont="1" applyFill="1" applyProtection="1"/>
    <xf numFmtId="0" fontId="9" fillId="0" borderId="11" xfId="0" applyFont="1" applyBorder="1" applyProtection="1"/>
    <xf numFmtId="0" fontId="10" fillId="0" borderId="27" xfId="0" applyFont="1" applyBorder="1" applyProtection="1"/>
    <xf numFmtId="171" fontId="10" fillId="0" borderId="22" xfId="0" applyNumberFormat="1" applyFont="1" applyBorder="1" applyProtection="1"/>
    <xf numFmtId="171" fontId="10" fillId="0" borderId="45" xfId="0" applyNumberFormat="1" applyFont="1" applyBorder="1" applyProtection="1"/>
    <xf numFmtId="171" fontId="10" fillId="0" borderId="46" xfId="0" applyNumberFormat="1" applyFont="1" applyBorder="1" applyProtection="1"/>
    <xf numFmtId="0" fontId="13" fillId="0" borderId="0" xfId="0" applyNumberFormat="1" applyFont="1" applyFill="1" applyBorder="1" applyProtection="1"/>
    <xf numFmtId="9" fontId="10" fillId="0" borderId="29" xfId="0" applyNumberFormat="1" applyFont="1" applyBorder="1"/>
    <xf numFmtId="0" fontId="39" fillId="0" borderId="0" xfId="0" applyFont="1"/>
    <xf numFmtId="0" fontId="39" fillId="0" borderId="0" xfId="0" applyNumberFormat="1" applyFont="1" applyProtection="1"/>
    <xf numFmtId="0" fontId="39" fillId="0" borderId="0" xfId="0" applyFont="1" applyAlignment="1" applyProtection="1">
      <alignment vertical="center"/>
    </xf>
    <xf numFmtId="0" fontId="39" fillId="0" borderId="0" xfId="0" applyFont="1" applyProtection="1"/>
    <xf numFmtId="0" fontId="0" fillId="0" borderId="0" xfId="0" applyFont="1" applyProtection="1"/>
    <xf numFmtId="0" fontId="5" fillId="0" borderId="0" xfId="0" applyFont="1" applyAlignment="1">
      <alignment horizontal="left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vertical="center" wrapText="1"/>
    </xf>
    <xf numFmtId="12" fontId="9" fillId="32" borderId="18" xfId="0" applyNumberFormat="1" applyFont="1" applyFill="1" applyBorder="1" applyProtection="1">
      <protection locked="0"/>
    </xf>
    <xf numFmtId="171" fontId="9" fillId="0" borderId="39" xfId="0" applyNumberFormat="1" applyFont="1" applyBorder="1"/>
    <xf numFmtId="0" fontId="10" fillId="0" borderId="3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9" fillId="0" borderId="36" xfId="0" applyNumberFormat="1" applyFont="1" applyBorder="1"/>
    <xf numFmtId="9" fontId="10" fillId="0" borderId="49" xfId="42" applyFont="1" applyFill="1" applyBorder="1" applyAlignment="1">
      <alignment horizontal="center" vertical="center" wrapText="1"/>
    </xf>
    <xf numFmtId="9" fontId="10" fillId="0" borderId="51" xfId="42" applyFont="1" applyFill="1" applyBorder="1" applyAlignment="1">
      <alignment horizontal="center" vertical="center"/>
    </xf>
    <xf numFmtId="167" fontId="10" fillId="0" borderId="46" xfId="42" applyNumberFormat="1" applyFont="1" applyFill="1" applyBorder="1" applyAlignment="1">
      <alignment horizontal="center" wrapText="1"/>
    </xf>
    <xf numFmtId="167" fontId="9" fillId="0" borderId="49" xfId="42" applyNumberFormat="1" applyFont="1" applyFill="1" applyBorder="1" applyAlignment="1">
      <alignment horizontal="center" vertical="top" wrapText="1"/>
    </xf>
    <xf numFmtId="167" fontId="10" fillId="0" borderId="49" xfId="42" applyNumberFormat="1" applyFont="1" applyFill="1" applyBorder="1" applyAlignment="1">
      <alignment horizontal="center" vertical="top" wrapText="1"/>
    </xf>
    <xf numFmtId="167" fontId="10" fillId="0" borderId="47" xfId="42" applyNumberFormat="1" applyFont="1" applyFill="1" applyBorder="1" applyAlignment="1">
      <alignment horizontal="center" vertical="top" wrapText="1"/>
    </xf>
    <xf numFmtId="167" fontId="10" fillId="0" borderId="56" xfId="42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wrapText="1"/>
    </xf>
    <xf numFmtId="171" fontId="9" fillId="0" borderId="11" xfId="0" applyNumberFormat="1" applyFont="1" applyBorder="1"/>
    <xf numFmtId="171" fontId="10" fillId="0" borderId="11" xfId="0" applyNumberFormat="1" applyFont="1" applyBorder="1"/>
    <xf numFmtId="171" fontId="10" fillId="0" borderId="28" xfId="0" applyNumberFormat="1" applyFont="1" applyFill="1" applyBorder="1"/>
    <xf numFmtId="0" fontId="53" fillId="32" borderId="13" xfId="47" applyFill="1" applyBorder="1" applyAlignment="1" applyProtection="1">
      <alignment horizontal="justify" vertical="top" wrapText="1"/>
      <protection locked="0"/>
    </xf>
    <xf numFmtId="49" fontId="19" fillId="32" borderId="18" xfId="0" applyNumberFormat="1" applyFont="1" applyFill="1" applyBorder="1" applyAlignment="1" applyProtection="1">
      <alignment horizontal="justify" wrapText="1"/>
      <protection locked="0"/>
    </xf>
    <xf numFmtId="0" fontId="53" fillId="32" borderId="65" xfId="47" applyFill="1" applyBorder="1" applyAlignment="1" applyProtection="1">
      <alignment horizontal="justify" wrapText="1"/>
      <protection locked="0"/>
    </xf>
    <xf numFmtId="0" fontId="53" fillId="32" borderId="18" xfId="47" applyFill="1" applyBorder="1" applyAlignment="1" applyProtection="1">
      <alignment horizontal="justify" wrapText="1"/>
      <protection locked="0"/>
    </xf>
    <xf numFmtId="0" fontId="6" fillId="30" borderId="68" xfId="0" applyFont="1" applyFill="1" applyBorder="1" applyAlignment="1">
      <alignment horizontal="center"/>
    </xf>
    <xf numFmtId="0" fontId="6" fillId="30" borderId="71" xfId="0" applyFont="1" applyFill="1" applyBorder="1" applyAlignment="1">
      <alignment horizontal="center"/>
    </xf>
    <xf numFmtId="0" fontId="6" fillId="30" borderId="18" xfId="0" applyFont="1" applyFill="1" applyBorder="1" applyAlignment="1">
      <alignment horizontal="center"/>
    </xf>
    <xf numFmtId="0" fontId="6" fillId="24" borderId="68" xfId="0" applyFont="1" applyFill="1" applyBorder="1" applyAlignment="1">
      <alignment horizontal="center"/>
    </xf>
    <xf numFmtId="0" fontId="6" fillId="24" borderId="71" xfId="0" applyFont="1" applyFill="1" applyBorder="1" applyAlignment="1">
      <alignment horizontal="center"/>
    </xf>
    <xf numFmtId="0" fontId="6" fillId="31" borderId="68" xfId="0" applyFont="1" applyFill="1" applyBorder="1" applyAlignment="1">
      <alignment horizontal="center"/>
    </xf>
    <xf numFmtId="0" fontId="6" fillId="31" borderId="71" xfId="0" applyFont="1" applyFill="1" applyBorder="1" applyAlignment="1">
      <alignment horizontal="center"/>
    </xf>
    <xf numFmtId="0" fontId="6" fillId="31" borderId="18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justify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45" fillId="0" borderId="87" xfId="0" applyFont="1" applyBorder="1" applyAlignment="1" applyProtection="1">
      <alignment horizontal="justify" vertical="center" wrapText="1"/>
    </xf>
    <xf numFmtId="0" fontId="46" fillId="0" borderId="87" xfId="0" applyFont="1" applyBorder="1" applyAlignment="1">
      <alignment horizontal="justify" vertical="center" wrapText="1"/>
    </xf>
    <xf numFmtId="0" fontId="45" fillId="0" borderId="88" xfId="0" applyFont="1" applyBorder="1" applyAlignment="1" applyProtection="1">
      <alignment horizontal="justify" vertical="center"/>
    </xf>
    <xf numFmtId="0" fontId="19" fillId="0" borderId="89" xfId="0" applyFont="1" applyBorder="1" applyAlignment="1">
      <alignment horizontal="justify" vertical="center"/>
    </xf>
    <xf numFmtId="0" fontId="8" fillId="0" borderId="88" xfId="0" applyFont="1" applyBorder="1" applyAlignment="1" applyProtection="1">
      <alignment horizontal="justify" vertical="center" wrapText="1"/>
    </xf>
    <xf numFmtId="0" fontId="19" fillId="0" borderId="89" xfId="0" applyFont="1" applyBorder="1" applyAlignment="1">
      <alignment horizontal="justify" vertical="center" wrapText="1"/>
    </xf>
    <xf numFmtId="0" fontId="8" fillId="0" borderId="90" xfId="0" applyFont="1" applyBorder="1" applyAlignment="1" applyProtection="1">
      <alignment horizontal="justify" wrapText="1"/>
    </xf>
    <xf numFmtId="0" fontId="19" fillId="0" borderId="91" xfId="0" applyFont="1" applyBorder="1" applyAlignment="1">
      <alignment horizontal="justify" wrapText="1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>
      <alignment horizontal="justify" wrapText="1"/>
    </xf>
    <xf numFmtId="0" fontId="45" fillId="0" borderId="92" xfId="0" applyFont="1" applyBorder="1" applyAlignment="1" applyProtection="1">
      <alignment horizontal="justify" vertical="center" wrapText="1"/>
    </xf>
    <xf numFmtId="0" fontId="46" fillId="0" borderId="93" xfId="0" applyFont="1" applyBorder="1" applyAlignment="1">
      <alignment horizontal="justify" vertical="center" wrapText="1"/>
    </xf>
    <xf numFmtId="0" fontId="8" fillId="0" borderId="92" xfId="0" applyFont="1" applyBorder="1" applyAlignment="1" applyProtection="1">
      <alignment horizontal="justify" vertical="center" wrapText="1"/>
    </xf>
    <xf numFmtId="0" fontId="19" fillId="0" borderId="93" xfId="0" applyFont="1" applyBorder="1" applyAlignment="1">
      <alignment horizontal="justify" vertical="center" wrapText="1"/>
    </xf>
    <xf numFmtId="0" fontId="8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>
      <alignment horizontal="justify" wrapText="1"/>
    </xf>
    <xf numFmtId="0" fontId="8" fillId="0" borderId="15" xfId="0" applyFont="1" applyFill="1" applyBorder="1" applyAlignment="1" applyProtection="1">
      <alignment horizontal="justify" wrapText="1"/>
    </xf>
    <xf numFmtId="0" fontId="19" fillId="0" borderId="65" xfId="0" applyFont="1" applyFill="1" applyBorder="1" applyAlignment="1">
      <alignment horizontal="justify" wrapText="1"/>
    </xf>
    <xf numFmtId="0" fontId="13" fillId="0" borderId="0" xfId="0" applyFont="1" applyFill="1" applyAlignment="1">
      <alignment horizontal="left" wrapText="1"/>
    </xf>
    <xf numFmtId="0" fontId="10" fillId="0" borderId="39" xfId="0" applyFont="1" applyFill="1" applyBorder="1" applyAlignment="1">
      <alignment horizontal="center" vertical="center"/>
    </xf>
    <xf numFmtId="0" fontId="41" fillId="0" borderId="10" xfId="0" applyFont="1" applyBorder="1"/>
    <xf numFmtId="0" fontId="10" fillId="0" borderId="9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 wrapText="1"/>
    </xf>
    <xf numFmtId="0" fontId="41" fillId="0" borderId="71" xfId="0" applyFont="1" applyBorder="1"/>
    <xf numFmtId="0" fontId="41" fillId="0" borderId="18" xfId="0" applyFont="1" applyBorder="1"/>
    <xf numFmtId="0" fontId="10" fillId="0" borderId="53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8" fillId="0" borderId="14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41" fillId="0" borderId="11" xfId="0" applyFont="1" applyBorder="1"/>
    <xf numFmtId="0" fontId="10" fillId="0" borderId="23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</cellXfs>
  <cellStyles count="141">
    <cellStyle name="20% - Accent1" xfId="1" builtinId="30" customBuiltin="1"/>
    <cellStyle name="20% - Accent1 2" xfId="51"/>
    <cellStyle name="20% - Accent1 3" xfId="97"/>
    <cellStyle name="20% - Accent2" xfId="2" builtinId="34" customBuiltin="1"/>
    <cellStyle name="20% - Accent2 2" xfId="52"/>
    <cellStyle name="20% - Accent2 3" xfId="98"/>
    <cellStyle name="20% - Accent3" xfId="3" builtinId="38" customBuiltin="1"/>
    <cellStyle name="20% - Accent3 2" xfId="53"/>
    <cellStyle name="20% - Accent3 3" xfId="99"/>
    <cellStyle name="20% - Accent4" xfId="4" builtinId="42" customBuiltin="1"/>
    <cellStyle name="20% - Accent4 2" xfId="54"/>
    <cellStyle name="20% - Accent4 3" xfId="100"/>
    <cellStyle name="20% - Accent5" xfId="5" builtinId="46" customBuiltin="1"/>
    <cellStyle name="20% - Accent5 2" xfId="55"/>
    <cellStyle name="20% - Accent5 3" xfId="101"/>
    <cellStyle name="20% - Accent6" xfId="6" builtinId="50" customBuiltin="1"/>
    <cellStyle name="20% - Accent6 2" xfId="56"/>
    <cellStyle name="20% - Accent6 3" xfId="102"/>
    <cellStyle name="40% - Accent1" xfId="7" builtinId="31" customBuiltin="1"/>
    <cellStyle name="40% - Accent1 2" xfId="57"/>
    <cellStyle name="40% - Accent1 3" xfId="103"/>
    <cellStyle name="40% - Accent2" xfId="8" builtinId="35" customBuiltin="1"/>
    <cellStyle name="40% - Accent2 2" xfId="58"/>
    <cellStyle name="40% - Accent2 3" xfId="104"/>
    <cellStyle name="40% - Accent3" xfId="9" builtinId="39" customBuiltin="1"/>
    <cellStyle name="40% - Accent3 2" xfId="59"/>
    <cellStyle name="40% - Accent3 3" xfId="105"/>
    <cellStyle name="40% - Accent4" xfId="10" builtinId="43" customBuiltin="1"/>
    <cellStyle name="40% - Accent4 2" xfId="60"/>
    <cellStyle name="40% - Accent4 3" xfId="106"/>
    <cellStyle name="40% - Accent5" xfId="11" builtinId="47" customBuiltin="1"/>
    <cellStyle name="40% - Accent5 2" xfId="61"/>
    <cellStyle name="40% - Accent5 3" xfId="107"/>
    <cellStyle name="40% - Accent6" xfId="12" builtinId="51" customBuiltin="1"/>
    <cellStyle name="40% - Accent6 2" xfId="62"/>
    <cellStyle name="40% - Accent6 3" xfId="108"/>
    <cellStyle name="60% - Accent1" xfId="13" builtinId="32" customBuiltin="1"/>
    <cellStyle name="60% - Accent1 2" xfId="63"/>
    <cellStyle name="60% - Accent1 3" xfId="109"/>
    <cellStyle name="60% - Accent2" xfId="14" builtinId="36" customBuiltin="1"/>
    <cellStyle name="60% - Accent2 2" xfId="64"/>
    <cellStyle name="60% - Accent2 3" xfId="110"/>
    <cellStyle name="60% - Accent3" xfId="15" builtinId="40" customBuiltin="1"/>
    <cellStyle name="60% - Accent3 2" xfId="65"/>
    <cellStyle name="60% - Accent3 3" xfId="111"/>
    <cellStyle name="60% - Accent4" xfId="16" builtinId="44" customBuiltin="1"/>
    <cellStyle name="60% - Accent4 2" xfId="66"/>
    <cellStyle name="60% - Accent4 3" xfId="112"/>
    <cellStyle name="60% - Accent5" xfId="17" builtinId="48" customBuiltin="1"/>
    <cellStyle name="60% - Accent5 2" xfId="67"/>
    <cellStyle name="60% - Accent5 3" xfId="113"/>
    <cellStyle name="60% - Accent6" xfId="18" builtinId="52" customBuiltin="1"/>
    <cellStyle name="60% - Accent6 2" xfId="68"/>
    <cellStyle name="60% - Accent6 3" xfId="114"/>
    <cellStyle name="Accent1" xfId="19" builtinId="29" customBuiltin="1"/>
    <cellStyle name="Accent1 2" xfId="69"/>
    <cellStyle name="Accent1 3" xfId="115"/>
    <cellStyle name="Accent2" xfId="20" builtinId="33" customBuiltin="1"/>
    <cellStyle name="Accent2 2" xfId="70"/>
    <cellStyle name="Accent2 3" xfId="116"/>
    <cellStyle name="Accent3" xfId="21" builtinId="37" customBuiltin="1"/>
    <cellStyle name="Accent3 2" xfId="71"/>
    <cellStyle name="Accent3 3" xfId="117"/>
    <cellStyle name="Accent4" xfId="22" builtinId="41" customBuiltin="1"/>
    <cellStyle name="Accent4 2" xfId="72"/>
    <cellStyle name="Accent4 3" xfId="118"/>
    <cellStyle name="Accent5" xfId="23" builtinId="45" customBuiltin="1"/>
    <cellStyle name="Accent5 2" xfId="73"/>
    <cellStyle name="Accent5 3" xfId="119"/>
    <cellStyle name="Accent6" xfId="24" builtinId="49" customBuiltin="1"/>
    <cellStyle name="Accent6 2" xfId="74"/>
    <cellStyle name="Accent6 3" xfId="120"/>
    <cellStyle name="Bad" xfId="25" builtinId="27" customBuiltin="1"/>
    <cellStyle name="Bad 2" xfId="75"/>
    <cellStyle name="Bad 3" xfId="121"/>
    <cellStyle name="Calculation" xfId="26" builtinId="22" customBuiltin="1"/>
    <cellStyle name="Calculation 2" xfId="76"/>
    <cellStyle name="Calculation 3" xfId="122"/>
    <cellStyle name="Check Cell" xfId="27" builtinId="23" customBuiltin="1"/>
    <cellStyle name="Check Cell 2" xfId="77"/>
    <cellStyle name="Check Cell 3" xfId="123"/>
    <cellStyle name="Comma" xfId="28" builtinId="3"/>
    <cellStyle name="Comma 2" xfId="78"/>
    <cellStyle name="Comma 3" xfId="49"/>
    <cellStyle name="Comma 4" xfId="96"/>
    <cellStyle name="Comma_B Schedule Municipal Adjustments Budget - 23 March 2009 cb" xfId="29"/>
    <cellStyle name="Explanatory Text" xfId="30" builtinId="53" customBuiltin="1"/>
    <cellStyle name="Explanatory Text 2" xfId="79"/>
    <cellStyle name="Explanatory Text 3" xfId="124"/>
    <cellStyle name="Followed Hyperlink" xfId="125" builtinId="9" customBuiltin="1"/>
    <cellStyle name="Good" xfId="31" builtinId="26" customBuiltin="1"/>
    <cellStyle name="Good 2" xfId="80"/>
    <cellStyle name="Good 3" xfId="126"/>
    <cellStyle name="Heading 1" xfId="32" builtinId="16" customBuiltin="1"/>
    <cellStyle name="Heading 1 2" xfId="81"/>
    <cellStyle name="Heading 1 3" xfId="127"/>
    <cellStyle name="Heading 2" xfId="33" builtinId="17" customBuiltin="1"/>
    <cellStyle name="Heading 2 2" xfId="82"/>
    <cellStyle name="Heading 2 3" xfId="128"/>
    <cellStyle name="Heading 3" xfId="34" builtinId="18" customBuiltin="1"/>
    <cellStyle name="Heading 3 2" xfId="83"/>
    <cellStyle name="Heading 3 3" xfId="129"/>
    <cellStyle name="Heading 4" xfId="35" builtinId="19" customBuiltin="1"/>
    <cellStyle name="Heading 4 2" xfId="84"/>
    <cellStyle name="Heading 4 3" xfId="130"/>
    <cellStyle name="Hyperlink" xfId="47" builtinId="8"/>
    <cellStyle name="Hyperlink 2" xfId="131"/>
    <cellStyle name="Hyperlink_AppA_Muncde_2010" xfId="36"/>
    <cellStyle name="Input" xfId="37" builtinId="20" customBuiltin="1"/>
    <cellStyle name="Input 2" xfId="85"/>
    <cellStyle name="Input 3" xfId="132"/>
    <cellStyle name="Linked Cell" xfId="38" builtinId="24" customBuiltin="1"/>
    <cellStyle name="Linked Cell 2" xfId="86"/>
    <cellStyle name="Linked Cell 3" xfId="133"/>
    <cellStyle name="Neutral" xfId="39" builtinId="28" customBuiltin="1"/>
    <cellStyle name="Neutral 2" xfId="87"/>
    <cellStyle name="Neutral 3" xfId="134"/>
    <cellStyle name="Normal" xfId="0" builtinId="0"/>
    <cellStyle name="Normal 2" xfId="50"/>
    <cellStyle name="Normal 3" xfId="48"/>
    <cellStyle name="Normal 4" xfId="95"/>
    <cellStyle name="Note" xfId="40" builtinId="10" customBuiltin="1"/>
    <cellStyle name="Note 2" xfId="88"/>
    <cellStyle name="Note 3" xfId="135"/>
    <cellStyle name="Output" xfId="41" builtinId="21" customBuiltin="1"/>
    <cellStyle name="Output 2" xfId="89"/>
    <cellStyle name="Output 3" xfId="136"/>
    <cellStyle name="Percent" xfId="42" builtinId="5"/>
    <cellStyle name="Percent 10 2" xfId="43"/>
    <cellStyle name="Percent 10 2 2" xfId="91"/>
    <cellStyle name="Percent 2" xfId="90"/>
    <cellStyle name="Percent 3" xfId="137"/>
    <cellStyle name="Title" xfId="44" builtinId="15" customBuiltin="1"/>
    <cellStyle name="Title 2" xfId="92"/>
    <cellStyle name="Title 3" xfId="138"/>
    <cellStyle name="Total" xfId="45" builtinId="25" customBuiltin="1"/>
    <cellStyle name="Total 2" xfId="93"/>
    <cellStyle name="Total 3" xfId="139"/>
    <cellStyle name="Warning Text" xfId="46" builtinId="11" customBuiltin="1"/>
    <cellStyle name="Warning Text 2" xfId="94"/>
    <cellStyle name="Warning Text 3" xfId="14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365376"/>
        <c:axId val="159375360"/>
        <c:axId val="0"/>
      </c:bar3DChart>
      <c:catAx>
        <c:axId val="1593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937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7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9365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2014/15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844416"/>
        <c:axId val="160711040"/>
        <c:axId val="0"/>
      </c:bar3DChart>
      <c:catAx>
        <c:axId val="1608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7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71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84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3637659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-227707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865280"/>
        <c:axId val="160871168"/>
        <c:axId val="0"/>
      </c:bar3DChart>
      <c:catAx>
        <c:axId val="16086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871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087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865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8808585.2600800004</c:v>
                </c:pt>
                <c:pt idx="2">
                  <c:v>8808585.2600800004</c:v>
                </c:pt>
                <c:pt idx="3">
                  <c:v>8808585.2600800004</c:v>
                </c:pt>
                <c:pt idx="4">
                  <c:v>8808585.2600800004</c:v>
                </c:pt>
                <c:pt idx="5">
                  <c:v>8808585.2600800004</c:v>
                </c:pt>
                <c:pt idx="6">
                  <c:v>8808585.2600800004</c:v>
                </c:pt>
                <c:pt idx="7">
                  <c:v>8808585.2600800004</c:v>
                </c:pt>
                <c:pt idx="8">
                  <c:v>8808585.2600800004</c:v>
                </c:pt>
                <c:pt idx="9">
                  <c:v>8808585.2600800004</c:v>
                </c:pt>
                <c:pt idx="10">
                  <c:v>8808585.2600800004</c:v>
                </c:pt>
                <c:pt idx="11">
                  <c:v>8808585.2600800004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330675</c:v>
                </c:pt>
                <c:pt idx="2">
                  <c:v>9321519</c:v>
                </c:pt>
                <c:pt idx="3">
                  <c:v>4663933</c:v>
                </c:pt>
                <c:pt idx="4">
                  <c:v>9959155</c:v>
                </c:pt>
                <c:pt idx="5">
                  <c:v>4761825</c:v>
                </c:pt>
                <c:pt idx="6">
                  <c:v>4858051</c:v>
                </c:pt>
                <c:pt idx="7">
                  <c:v>7648776</c:v>
                </c:pt>
                <c:pt idx="8">
                  <c:v>32938</c:v>
                </c:pt>
                <c:pt idx="9">
                  <c:v>2048835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791168"/>
        <c:axId val="160805248"/>
        <c:axId val="0"/>
      </c:bar3DChart>
      <c:catAx>
        <c:axId val="16079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8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80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791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6439262</c:v>
                </c:pt>
                <c:pt idx="2">
                  <c:v>15760781</c:v>
                </c:pt>
                <c:pt idx="3">
                  <c:v>20424714</c:v>
                </c:pt>
                <c:pt idx="4">
                  <c:v>30383869</c:v>
                </c:pt>
                <c:pt idx="5">
                  <c:v>35145694</c:v>
                </c:pt>
                <c:pt idx="6">
                  <c:v>40003745</c:v>
                </c:pt>
                <c:pt idx="7">
                  <c:v>47652521</c:v>
                </c:pt>
                <c:pt idx="8">
                  <c:v>47685459</c:v>
                </c:pt>
                <c:pt idx="9">
                  <c:v>49734294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17617170.520160001</c:v>
                </c:pt>
                <c:pt idx="2">
                  <c:v>26425755.780239999</c:v>
                </c:pt>
                <c:pt idx="3">
                  <c:v>35234341.040320002</c:v>
                </c:pt>
                <c:pt idx="4">
                  <c:v>44042926.300400004</c:v>
                </c:pt>
                <c:pt idx="5">
                  <c:v>52851511.560480006</c:v>
                </c:pt>
                <c:pt idx="6">
                  <c:v>61660096.820560008</c:v>
                </c:pt>
                <c:pt idx="7">
                  <c:v>70468682.080640003</c:v>
                </c:pt>
                <c:pt idx="8">
                  <c:v>79277267.340719998</c:v>
                </c:pt>
                <c:pt idx="9">
                  <c:v>88085852.600799993</c:v>
                </c:pt>
                <c:pt idx="10">
                  <c:v>96894437.860879987</c:v>
                </c:pt>
                <c:pt idx="11">
                  <c:v>105703023.12095998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242112"/>
        <c:axId val="161243904"/>
        <c:axId val="0"/>
      </c:bar3DChart>
      <c:catAx>
        <c:axId val="1612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124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4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1242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8" val="7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205" val="20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10" val="8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027287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027289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027291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027293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27294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027295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027300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027301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027303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027304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027296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027297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8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9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027292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2015/16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043722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043723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8</xdr:row>
          <xdr:rowOff>66675</xdr:rowOff>
        </xdr:from>
        <xdr:to>
          <xdr:col>2</xdr:col>
          <xdr:colOff>542925</xdr:colOff>
          <xdr:row>9</xdr:row>
          <xdr:rowOff>9525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</xdr:row>
          <xdr:rowOff>85725</xdr:rowOff>
        </xdr:from>
        <xdr:to>
          <xdr:col>3</xdr:col>
          <xdr:colOff>228600</xdr:colOff>
          <xdr:row>10</xdr:row>
          <xdr:rowOff>28575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7</xdr:row>
          <xdr:rowOff>38100</xdr:rowOff>
        </xdr:from>
        <xdr:to>
          <xdr:col>3</xdr:col>
          <xdr:colOff>85725</xdr:colOff>
          <xdr:row>7</xdr:row>
          <xdr:rowOff>142875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043735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077446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1</xdr:row>
          <xdr:rowOff>47625</xdr:rowOff>
        </xdr:from>
        <xdr:to>
          <xdr:col>2</xdr:col>
          <xdr:colOff>28575</xdr:colOff>
          <xdr:row>1</xdr:row>
          <xdr:rowOff>85725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1</xdr:row>
          <xdr:rowOff>114300</xdr:rowOff>
        </xdr:from>
        <xdr:to>
          <xdr:col>1</xdr:col>
          <xdr:colOff>257175</xdr:colOff>
          <xdr:row>1</xdr:row>
          <xdr:rowOff>161925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2</xdr:row>
          <xdr:rowOff>28575</xdr:rowOff>
        </xdr:from>
        <xdr:to>
          <xdr:col>2</xdr:col>
          <xdr:colOff>28575</xdr:colOff>
          <xdr:row>2</xdr:row>
          <xdr:rowOff>66675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</xdr:row>
          <xdr:rowOff>114300</xdr:rowOff>
        </xdr:from>
        <xdr:to>
          <xdr:col>2</xdr:col>
          <xdr:colOff>19050</xdr:colOff>
          <xdr:row>1</xdr:row>
          <xdr:rowOff>161925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</xdr:row>
          <xdr:rowOff>38100</xdr:rowOff>
        </xdr:from>
        <xdr:to>
          <xdr:col>0</xdr:col>
          <xdr:colOff>561975</xdr:colOff>
          <xdr:row>6</xdr:row>
          <xdr:rowOff>85725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</xdr:row>
          <xdr:rowOff>114300</xdr:rowOff>
        </xdr:from>
        <xdr:to>
          <xdr:col>0</xdr:col>
          <xdr:colOff>561975</xdr:colOff>
          <xdr:row>7</xdr:row>
          <xdr:rowOff>9525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</xdr:row>
          <xdr:rowOff>85725</xdr:rowOff>
        </xdr:from>
        <xdr:to>
          <xdr:col>0</xdr:col>
          <xdr:colOff>561975</xdr:colOff>
          <xdr:row>7</xdr:row>
          <xdr:rowOff>142875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</xdr:row>
          <xdr:rowOff>152400</xdr:rowOff>
        </xdr:from>
        <xdr:to>
          <xdr:col>4</xdr:col>
          <xdr:colOff>504825</xdr:colOff>
          <xdr:row>2</xdr:row>
          <xdr:rowOff>85725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6</xdr:row>
          <xdr:rowOff>28575</xdr:rowOff>
        </xdr:from>
        <xdr:to>
          <xdr:col>3</xdr:col>
          <xdr:colOff>85725</xdr:colOff>
          <xdr:row>6</xdr:row>
          <xdr:rowOff>133350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043740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295526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756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756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756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7567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7567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2015/16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2027\My%20Documents\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NW385_CFA_2016_M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O15">
            <v>1500</v>
          </cell>
        </row>
        <row r="17">
          <cell r="O17">
            <v>7600</v>
          </cell>
        </row>
        <row r="19">
          <cell r="O19">
            <v>23828</v>
          </cell>
        </row>
        <row r="20">
          <cell r="O20">
            <v>308456</v>
          </cell>
        </row>
        <row r="23">
          <cell r="O23">
            <v>1242176</v>
          </cell>
        </row>
        <row r="37">
          <cell r="O37">
            <v>9090079</v>
          </cell>
        </row>
        <row r="38">
          <cell r="O38">
            <v>593784</v>
          </cell>
        </row>
        <row r="41">
          <cell r="O41">
            <v>3335837</v>
          </cell>
        </row>
        <row r="43">
          <cell r="O43">
            <v>750714</v>
          </cell>
        </row>
        <row r="44">
          <cell r="O44">
            <v>571158</v>
          </cell>
        </row>
        <row r="46">
          <cell r="O46">
            <v>286990</v>
          </cell>
        </row>
        <row r="47">
          <cell r="O47">
            <v>6574770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othusi.lekaba@rmotshere.gov.za" TargetMode="External"/><Relationship Id="rId2" Type="http://schemas.openxmlformats.org/officeDocument/2006/relationships/hyperlink" Target="mailto:temogo.thebe@ramotshere.gov.za" TargetMode="External"/><Relationship Id="rId1" Type="http://schemas.openxmlformats.org/officeDocument/2006/relationships/hyperlink" Target="http://www.ramotshere.gov.za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keitumetse.matsobe@ramotshere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abSelected="1" view="pageBreakPreview" zoomScaleNormal="100" zoomScaleSheetLayoutView="100" workbookViewId="0"/>
  </sheetViews>
  <sheetFormatPr defaultRowHeight="12.75" x14ac:dyDescent="0.2"/>
  <sheetData>
    <row r="1" spans="1:1" x14ac:dyDescent="0.2">
      <c r="A1" t="str">
        <f>muni</f>
        <v>NW385 Ramotshere Moiloa</v>
      </c>
    </row>
  </sheetData>
  <sheetProtection sheet="1" objects="1" scenarios="1"/>
  <phoneticPr fontId="5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="110" zoomScaleNormal="100" zoomScaleSheetLayoutView="110" workbookViewId="0">
      <pane xSplit="2" ySplit="4" topLeftCell="C23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87" t="str">
        <f>muni&amp; " - "&amp;S71C&amp; " - "&amp;date</f>
        <v>NW385 Ramotshere Moiloa - Table C3 Monthly Budget Statement - Financial Performance (revenue and expenditure by municipal vote) - M10 April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24" x14ac:dyDescent="0.25">
      <c r="A2" s="20" t="str">
        <f>Vdesc</f>
        <v>Vote Description</v>
      </c>
      <c r="B2" s="978" t="str">
        <f>head27</f>
        <v>Ref</v>
      </c>
      <c r="C2" s="143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</row>
    <row r="3" spans="1:24" ht="25.5" x14ac:dyDescent="0.25">
      <c r="A3" s="169"/>
      <c r="B3" s="989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90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Executive &amp; Council</v>
      </c>
      <c r="B6" s="170"/>
      <c r="C6" s="135">
        <f>'C3C'!C6</f>
        <v>1532982</v>
      </c>
      <c r="D6" s="47">
        <f>'C3C'!D6</f>
        <v>52262000</v>
      </c>
      <c r="E6" s="45">
        <f>'C3C'!E6</f>
        <v>52972000</v>
      </c>
      <c r="F6" s="45">
        <f>'C3C'!F6</f>
        <v>32750</v>
      </c>
      <c r="G6" s="45">
        <f>'C3C'!G6</f>
        <v>19402555.539999999</v>
      </c>
      <c r="H6" s="45">
        <f>'C3C'!H6</f>
        <v>34841333.333333328</v>
      </c>
      <c r="I6" s="45">
        <f>G6-H6</f>
        <v>-15438777.793333329</v>
      </c>
      <c r="J6" s="729">
        <f>IF(I6=0,"",I6/H6)</f>
        <v>-0.44311673280777614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Finance &amp; Administration</v>
      </c>
      <c r="B7" s="170"/>
      <c r="C7" s="135">
        <f>'C3C'!C17</f>
        <v>132255996</v>
      </c>
      <c r="D7" s="47">
        <f>'C3C'!D17</f>
        <v>66969552.30063998</v>
      </c>
      <c r="E7" s="45">
        <f>'C3C'!E17</f>
        <v>68905996</v>
      </c>
      <c r="F7" s="45">
        <f>'C3C'!F17</f>
        <v>2215876</v>
      </c>
      <c r="G7" s="45">
        <f>'C3C'!G17</f>
        <v>68800118.890000001</v>
      </c>
      <c r="H7" s="45">
        <f>'C3C'!H17</f>
        <v>44646368.200426646</v>
      </c>
      <c r="I7" s="45">
        <f t="shared" ref="I7:I20" si="0">G7-H7</f>
        <v>24153750.689573355</v>
      </c>
      <c r="J7" s="729">
        <f t="shared" ref="J7:J21" si="1">IF(I7=0,"",I7/H7)</f>
        <v>0.54100146693102213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&amp; Development</v>
      </c>
      <c r="B8" s="170"/>
      <c r="C8" s="135">
        <f>'C3C'!C28</f>
        <v>0</v>
      </c>
      <c r="D8" s="47">
        <f>'C3C'!D28</f>
        <v>20457497.620359998</v>
      </c>
      <c r="E8" s="45">
        <f>'C3C'!E28</f>
        <v>12625025.68</v>
      </c>
      <c r="F8" s="45">
        <f>'C3C'!F28</f>
        <v>0</v>
      </c>
      <c r="G8" s="45">
        <f>'C3C'!G28</f>
        <v>67550.63</v>
      </c>
      <c r="H8" s="45">
        <f>'C3C'!H28</f>
        <v>13638331.746906666</v>
      </c>
      <c r="I8" s="45">
        <f t="shared" si="0"/>
        <v>-13570781.116906665</v>
      </c>
      <c r="J8" s="729">
        <f t="shared" si="1"/>
        <v>-0.9950470019901575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Technical Services</v>
      </c>
      <c r="B9" s="170"/>
      <c r="C9" s="135">
        <f>'C3C'!C39</f>
        <v>108323895</v>
      </c>
      <c r="D9" s="47">
        <f>'C3C'!D39</f>
        <v>177258612.46994415</v>
      </c>
      <c r="E9" s="45">
        <f>'C3C'!E39</f>
        <v>180165139.39066002</v>
      </c>
      <c r="F9" s="45">
        <f>'C3C'!F39</f>
        <v>4490480</v>
      </c>
      <c r="G9" s="45">
        <f>'C3C'!G39</f>
        <v>100003504.05000001</v>
      </c>
      <c r="H9" s="45">
        <f>'C3C'!H39</f>
        <v>118172408.31329612</v>
      </c>
      <c r="I9" s="45">
        <f t="shared" si="0"/>
        <v>-18168904.263296112</v>
      </c>
      <c r="J9" s="729">
        <f t="shared" si="1"/>
        <v>-0.15374912403517332</v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Community &amp; Social Services</v>
      </c>
      <c r="B10" s="170"/>
      <c r="C10" s="135">
        <f>'C3C'!C50</f>
        <v>17477650</v>
      </c>
      <c r="D10" s="47">
        <f>'C3C'!D50</f>
        <v>45261173.121859983</v>
      </c>
      <c r="E10" s="45">
        <f>'C3C'!E50</f>
        <v>36315589.290799975</v>
      </c>
      <c r="F10" s="45">
        <f>'C3C'!F50</f>
        <v>984300</v>
      </c>
      <c r="G10" s="45">
        <f>'C3C'!G50</f>
        <v>30365780.450000003</v>
      </c>
      <c r="H10" s="45">
        <f>'C3C'!H50</f>
        <v>30174115.414573319</v>
      </c>
      <c r="I10" s="45">
        <f t="shared" si="0"/>
        <v>191665.03542668372</v>
      </c>
      <c r="J10" s="729">
        <f t="shared" si="1"/>
        <v>6.3519686590087889E-3</v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259590523</v>
      </c>
      <c r="D21" s="75">
        <f t="shared" ref="D21:I21" si="2">SUM(D6:D20)</f>
        <v>362208835.51280409</v>
      </c>
      <c r="E21" s="74">
        <f t="shared" si="2"/>
        <v>350983750.36145997</v>
      </c>
      <c r="F21" s="74">
        <f t="shared" si="2"/>
        <v>7723406</v>
      </c>
      <c r="G21" s="74">
        <f t="shared" si="2"/>
        <v>218639509.56</v>
      </c>
      <c r="H21" s="74">
        <f t="shared" si="2"/>
        <v>241472557.0085361</v>
      </c>
      <c r="I21" s="74">
        <f t="shared" si="2"/>
        <v>-22833047.448536068</v>
      </c>
      <c r="J21" s="730">
        <f t="shared" si="1"/>
        <v>-9.4557525424012953E-2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Executive &amp; Council</v>
      </c>
      <c r="B24" s="170"/>
      <c r="C24" s="135">
        <f>'C3C'!C174</f>
        <v>22018516</v>
      </c>
      <c r="D24" s="47">
        <f>'C3C'!D174</f>
        <v>41624569.556634203</v>
      </c>
      <c r="E24" s="45">
        <f>'C3C'!E174</f>
        <v>41463777.299999997</v>
      </c>
      <c r="F24" s="45">
        <f>'C3C'!F174</f>
        <v>2770511.6900000004</v>
      </c>
      <c r="G24" s="45">
        <f>'C3C'!G174</f>
        <v>25367689.510000002</v>
      </c>
      <c r="H24" s="45">
        <f>'C3C'!H174</f>
        <v>27749713.037756134</v>
      </c>
      <c r="I24" s="45">
        <f t="shared" ref="I24:I38" si="3">G24-H24</f>
        <v>-2382023.5277561322</v>
      </c>
      <c r="J24" s="729">
        <f t="shared" ref="J24:J29" si="4">IF(I24=0,"",I24/H24)</f>
        <v>-8.5839573350368042E-2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Finance &amp; Administration</v>
      </c>
      <c r="B25" s="170"/>
      <c r="C25" s="135">
        <f>'C3C'!C185</f>
        <v>194590887</v>
      </c>
      <c r="D25" s="47">
        <f>'C3C'!D185</f>
        <v>76211661.700174823</v>
      </c>
      <c r="E25" s="45">
        <f>'C3C'!E185</f>
        <v>87872416.560000002</v>
      </c>
      <c r="F25" s="45">
        <f>'C3C'!F185</f>
        <v>3428526.86</v>
      </c>
      <c r="G25" s="45">
        <f>'C3C'!G185</f>
        <v>42389985.660000004</v>
      </c>
      <c r="H25" s="45">
        <f>'C3C'!H185</f>
        <v>50807774.466783211</v>
      </c>
      <c r="I25" s="45">
        <f t="shared" si="3"/>
        <v>-8417788.8067832068</v>
      </c>
      <c r="J25" s="729">
        <f t="shared" si="4"/>
        <v>-0.16567914842021936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&amp; Development</v>
      </c>
      <c r="B26" s="170"/>
      <c r="C26" s="135">
        <f>'C3C'!C196</f>
        <v>22716466</v>
      </c>
      <c r="D26" s="47">
        <f>'C3C'!D196</f>
        <v>11240580.214849997</v>
      </c>
      <c r="E26" s="45">
        <f>'C3C'!E196</f>
        <v>32807833.519999996</v>
      </c>
      <c r="F26" s="45">
        <f>'C3C'!F196</f>
        <v>2662365.9400000004</v>
      </c>
      <c r="G26" s="45">
        <f>'C3C'!G196</f>
        <v>22881595.870000001</v>
      </c>
      <c r="H26" s="45">
        <f>'C3C'!H196</f>
        <v>7493720.1432333319</v>
      </c>
      <c r="I26" s="45">
        <f t="shared" si="3"/>
        <v>15387875.726766668</v>
      </c>
      <c r="J26" s="729">
        <f t="shared" si="4"/>
        <v>2.0534361348764256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Technical Services</v>
      </c>
      <c r="B27" s="170"/>
      <c r="C27" s="135">
        <f>'C3C'!C207</f>
        <v>41578873</v>
      </c>
      <c r="D27" s="47">
        <f>'C3C'!D207</f>
        <v>98692761.061682031</v>
      </c>
      <c r="E27" s="45">
        <f>'C3C'!E207</f>
        <v>80014530</v>
      </c>
      <c r="F27" s="45">
        <f>'C3C'!F207</f>
        <v>5226457.9400000004</v>
      </c>
      <c r="G27" s="45">
        <f>'C3C'!G207</f>
        <v>62207806.872391559</v>
      </c>
      <c r="H27" s="45">
        <f>'C3C'!H207</f>
        <v>65795174.041121349</v>
      </c>
      <c r="I27" s="45">
        <f t="shared" si="3"/>
        <v>-3587367.1687297896</v>
      </c>
      <c r="J27" s="729">
        <f t="shared" si="4"/>
        <v>-5.4523256773934811E-2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Community &amp; Social Services</v>
      </c>
      <c r="B28" s="170"/>
      <c r="C28" s="135">
        <f>'C3C'!C218</f>
        <v>3970204</v>
      </c>
      <c r="D28" s="47">
        <f>'C3C'!D218</f>
        <v>28736239.861502983</v>
      </c>
      <c r="E28" s="45">
        <f>'C3C'!E218</f>
        <v>41131190.256549999</v>
      </c>
      <c r="F28" s="45">
        <f>'C3C'!F218</f>
        <v>2891378.5500000003</v>
      </c>
      <c r="G28" s="45">
        <f>'C3C'!G218</f>
        <v>14544288.779999996</v>
      </c>
      <c r="H28" s="45">
        <f>'C3C'!H218</f>
        <v>19157493.241001986</v>
      </c>
      <c r="I28" s="45">
        <f t="shared" si="3"/>
        <v>-4613204.4610019904</v>
      </c>
      <c r="J28" s="729">
        <f t="shared" si="4"/>
        <v>-0.24080418053488026</v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284874946</v>
      </c>
      <c r="D39" s="478">
        <f t="shared" ref="D39:I39" si="6">SUM(D24:D38)</f>
        <v>256505812.39484403</v>
      </c>
      <c r="E39" s="433">
        <f t="shared" si="6"/>
        <v>283289747.63655001</v>
      </c>
      <c r="F39" s="433">
        <f t="shared" si="6"/>
        <v>16979240.980000004</v>
      </c>
      <c r="G39" s="433">
        <f t="shared" si="6"/>
        <v>167391366.69239157</v>
      </c>
      <c r="H39" s="433">
        <f t="shared" si="6"/>
        <v>171003874.92989603</v>
      </c>
      <c r="I39" s="433">
        <f t="shared" si="6"/>
        <v>-3612508.2375044506</v>
      </c>
      <c r="J39" s="732">
        <f>IF(I39=0,"",I39/H39)</f>
        <v>-2.1125300458749361E-2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-25284423</v>
      </c>
      <c r="D40" s="57">
        <f t="shared" si="7"/>
        <v>105703023.11796007</v>
      </c>
      <c r="E40" s="56">
        <f t="shared" si="7"/>
        <v>67694002.724909961</v>
      </c>
      <c r="F40" s="56">
        <f t="shared" si="7"/>
        <v>-9255834.9800000042</v>
      </c>
      <c r="G40" s="56">
        <f t="shared" si="7"/>
        <v>51248142.867608428</v>
      </c>
      <c r="H40" s="56">
        <f t="shared" si="7"/>
        <v>70468682.078640074</v>
      </c>
      <c r="I40" s="56">
        <f>I21-I39</f>
        <v>-19220539.211031616</v>
      </c>
      <c r="J40" s="733">
        <f>IF(I40=0,"",I40/H40)</f>
        <v>-0.27275292575476728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5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view="pageBreakPreview" zoomScaleNormal="100" zoomScaleSheetLayoutView="100" workbookViewId="0">
      <pane xSplit="2" ySplit="4" topLeftCell="C3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2" width="3" style="497" customWidth="1"/>
    <col min="3" max="9" width="9.28515625" style="25" customWidth="1"/>
    <col min="10" max="10" width="10.28515625" style="25" customWidth="1"/>
    <col min="11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NW385 Ramotshere Moiloa - Table C3 Monthly Budget Statement - Financial Performance (revenue and expenditure by municipal vote) - A - M10 April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  <c r="L2" s="991" t="e">
        <f>Head4</f>
        <v>#REF!</v>
      </c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3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Executive &amp; Council</v>
      </c>
      <c r="B6" s="443"/>
      <c r="C6" s="506">
        <f>SUM(C7:C16)</f>
        <v>1532982</v>
      </c>
      <c r="D6" s="447">
        <f t="shared" ref="D6:K6" si="0">SUM(D7:D16)</f>
        <v>52262000</v>
      </c>
      <c r="E6" s="444">
        <f t="shared" si="0"/>
        <v>52972000</v>
      </c>
      <c r="F6" s="446">
        <f t="shared" si="0"/>
        <v>32750</v>
      </c>
      <c r="G6" s="444">
        <f t="shared" si="0"/>
        <v>19402555.539999999</v>
      </c>
      <c r="H6" s="446">
        <f t="shared" si="0"/>
        <v>34841333.333333328</v>
      </c>
      <c r="I6" s="45">
        <f t="shared" ref="I6:I69" si="1">G6-H6</f>
        <v>-15438777.793333329</v>
      </c>
      <c r="J6" s="333">
        <f t="shared" ref="J6:J69" si="2">IF(I6=0,"",I6/H6)</f>
        <v>-0.44311673280777614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Mayor</v>
      </c>
      <c r="B7" s="448"/>
      <c r="C7" s="753">
        <v>17000</v>
      </c>
      <c r="D7" s="754">
        <v>5506000</v>
      </c>
      <c r="E7" s="755">
        <v>5506000</v>
      </c>
      <c r="F7" s="756"/>
      <c r="G7" s="755">
        <f>12575098.69</f>
        <v>12575098.689999999</v>
      </c>
      <c r="H7" s="756">
        <f>D7/12*8</f>
        <v>3670666.6666666665</v>
      </c>
      <c r="I7" s="45">
        <f t="shared" si="1"/>
        <v>8904432.0233333334</v>
      </c>
      <c r="J7" s="333">
        <f t="shared" si="2"/>
        <v>2.4258350953505268</v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Speaker</v>
      </c>
      <c r="B8" s="448"/>
      <c r="C8" s="753"/>
      <c r="D8" s="754">
        <v>6766000</v>
      </c>
      <c r="E8" s="755">
        <v>6766000</v>
      </c>
      <c r="F8" s="756"/>
      <c r="G8" s="755"/>
      <c r="H8" s="756">
        <f>D8/12*8</f>
        <v>4510666.666666667</v>
      </c>
      <c r="I8" s="45">
        <f t="shared" si="1"/>
        <v>-4510666.666666667</v>
      </c>
      <c r="J8" s="333">
        <f t="shared" si="2"/>
        <v>-1</v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Council</v>
      </c>
      <c r="B9" s="448"/>
      <c r="C9" s="753"/>
      <c r="D9" s="754">
        <v>17908000</v>
      </c>
      <c r="E9" s="755">
        <v>17908000</v>
      </c>
      <c r="F9" s="756"/>
      <c r="G9" s="755"/>
      <c r="H9" s="756">
        <f>D9/12*8</f>
        <v>11938666.666666666</v>
      </c>
      <c r="I9" s="45">
        <f t="shared" si="1"/>
        <v>-11938666.666666666</v>
      </c>
      <c r="J9" s="333">
        <f t="shared" si="2"/>
        <v>-1</v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Municipal Manager</v>
      </c>
      <c r="B10" s="448"/>
      <c r="C10" s="753">
        <v>1515982</v>
      </c>
      <c r="D10" s="754">
        <v>14602000</v>
      </c>
      <c r="E10" s="755">
        <v>15312000</v>
      </c>
      <c r="F10" s="756">
        <v>32750</v>
      </c>
      <c r="G10" s="755">
        <f>6794706.85+F10</f>
        <v>6827456.8499999996</v>
      </c>
      <c r="H10" s="756">
        <f>D10/12*8</f>
        <v>9734666.666666666</v>
      </c>
      <c r="I10" s="45">
        <f t="shared" si="1"/>
        <v>-2907209.8166666664</v>
      </c>
      <c r="J10" s="333">
        <f t="shared" si="2"/>
        <v>-0.29864502979043966</v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Internal Audit</v>
      </c>
      <c r="B11" s="448"/>
      <c r="C11" s="753"/>
      <c r="D11" s="754">
        <v>7480000</v>
      </c>
      <c r="E11" s="755">
        <v>7480000</v>
      </c>
      <c r="F11" s="756"/>
      <c r="G11" s="755"/>
      <c r="H11" s="756">
        <f>D11/12*8</f>
        <v>4986666.666666667</v>
      </c>
      <c r="I11" s="45">
        <f t="shared" si="1"/>
        <v>-4986666.666666667</v>
      </c>
      <c r="J11" s="333">
        <f t="shared" si="2"/>
        <v>-1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>
        <f t="shared" ref="H12:H27" si="3">D12/2</f>
        <v>0</v>
      </c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>
        <f t="shared" si="3"/>
        <v>0</v>
      </c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>
        <f t="shared" si="3"/>
        <v>0</v>
      </c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>
        <f t="shared" si="3"/>
        <v>0</v>
      </c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>
        <f t="shared" si="3"/>
        <v>0</v>
      </c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Finance &amp; Administration</v>
      </c>
      <c r="B17" s="443"/>
      <c r="C17" s="506">
        <f>SUM(C18:C27)</f>
        <v>132255996</v>
      </c>
      <c r="D17" s="447">
        <f t="shared" ref="D17:K17" si="4">SUM(D18:D27)</f>
        <v>66969552.30063998</v>
      </c>
      <c r="E17" s="444">
        <f t="shared" si="4"/>
        <v>68905996</v>
      </c>
      <c r="F17" s="446">
        <f t="shared" si="4"/>
        <v>2215876</v>
      </c>
      <c r="G17" s="444">
        <f t="shared" si="4"/>
        <v>68800118.890000001</v>
      </c>
      <c r="H17" s="446">
        <f t="shared" si="4"/>
        <v>44646368.200426646</v>
      </c>
      <c r="I17" s="45">
        <f t="shared" si="1"/>
        <v>24153750.689573355</v>
      </c>
      <c r="J17" s="333">
        <f t="shared" si="2"/>
        <v>0.54100146693102213</v>
      </c>
      <c r="K17" s="445">
        <f t="shared" si="4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Budget &amp; Treasury</v>
      </c>
      <c r="B18" s="448"/>
      <c r="C18" s="753">
        <v>130076127</v>
      </c>
      <c r="D18" s="754">
        <v>45146552.30063998</v>
      </c>
      <c r="E18" s="755">
        <v>39603000</v>
      </c>
      <c r="F18" s="756">
        <f>1349013+865363</f>
        <v>2214376</v>
      </c>
      <c r="G18" s="755">
        <f>57071364.89+F18</f>
        <v>59285740.890000001</v>
      </c>
      <c r="H18" s="756">
        <f>D18/12*8</f>
        <v>30097701.533759985</v>
      </c>
      <c r="I18" s="45">
        <f t="shared" si="1"/>
        <v>29188039.356240015</v>
      </c>
      <c r="J18" s="333">
        <f t="shared" si="2"/>
        <v>0.96977635729095057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Human Resources</v>
      </c>
      <c r="B19" s="448"/>
      <c r="C19" s="753">
        <v>2179869</v>
      </c>
      <c r="D19" s="754">
        <v>12738000</v>
      </c>
      <c r="E19" s="755">
        <v>7479996</v>
      </c>
      <c r="F19" s="756">
        <v>1500</v>
      </c>
      <c r="G19" s="755">
        <f>9512878+F19</f>
        <v>9514378</v>
      </c>
      <c r="H19" s="756">
        <f>D19/12*8</f>
        <v>8492000</v>
      </c>
      <c r="I19" s="45">
        <f t="shared" si="1"/>
        <v>1022378</v>
      </c>
      <c r="J19" s="333">
        <f t="shared" si="2"/>
        <v>0.12039307583608101</v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Information Technology</v>
      </c>
      <c r="B20" s="448"/>
      <c r="C20" s="753"/>
      <c r="D20" s="754">
        <v>4157000</v>
      </c>
      <c r="E20" s="755">
        <v>17666000</v>
      </c>
      <c r="F20" s="756"/>
      <c r="G20" s="755"/>
      <c r="H20" s="756">
        <f>D20/12*8</f>
        <v>2771333.3333333335</v>
      </c>
      <c r="I20" s="45">
        <f t="shared" si="1"/>
        <v>-2771333.3333333335</v>
      </c>
      <c r="J20" s="333">
        <f t="shared" si="2"/>
        <v>-1</v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Records &amp; Registry</v>
      </c>
      <c r="B21" s="448"/>
      <c r="C21" s="753"/>
      <c r="D21" s="754">
        <v>3067000</v>
      </c>
      <c r="E21" s="755">
        <v>4157000</v>
      </c>
      <c r="F21" s="756"/>
      <c r="G21" s="755"/>
      <c r="H21" s="756">
        <f>D21/12*8</f>
        <v>2044666.6666666667</v>
      </c>
      <c r="I21" s="45">
        <f t="shared" si="1"/>
        <v>-2044666.6666666667</v>
      </c>
      <c r="J21" s="333">
        <f t="shared" si="2"/>
        <v>-1</v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Labour Relations</v>
      </c>
      <c r="B22" s="448"/>
      <c r="C22" s="753"/>
      <c r="D22" s="754">
        <v>1861000</v>
      </c>
      <c r="E22" s="755"/>
      <c r="F22" s="756"/>
      <c r="G22" s="755"/>
      <c r="H22" s="756">
        <f>D22/12*8</f>
        <v>1240666.6666666667</v>
      </c>
      <c r="I22" s="45">
        <f t="shared" si="1"/>
        <v>-1240666.6666666667</v>
      </c>
      <c r="J22" s="333">
        <f t="shared" si="2"/>
        <v>-1</v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>
        <f t="shared" si="3"/>
        <v>0</v>
      </c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>
        <f t="shared" si="3"/>
        <v>0</v>
      </c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>
        <f t="shared" si="3"/>
        <v>0</v>
      </c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>
        <f t="shared" si="3"/>
        <v>0</v>
      </c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>
        <f t="shared" si="3"/>
        <v>0</v>
      </c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&amp; Development</v>
      </c>
      <c r="B28" s="443"/>
      <c r="C28" s="506">
        <f t="shared" ref="C28:K28" si="5">SUM(C29:C38)</f>
        <v>0</v>
      </c>
      <c r="D28" s="447">
        <f t="shared" si="5"/>
        <v>20457497.620359998</v>
      </c>
      <c r="E28" s="444">
        <f t="shared" si="5"/>
        <v>12625025.68</v>
      </c>
      <c r="F28" s="446">
        <f t="shared" si="5"/>
        <v>0</v>
      </c>
      <c r="G28" s="444">
        <f t="shared" si="5"/>
        <v>67550.63</v>
      </c>
      <c r="H28" s="446">
        <f t="shared" si="5"/>
        <v>13638331.746906666</v>
      </c>
      <c r="I28" s="45">
        <f t="shared" si="1"/>
        <v>-13570781.116906665</v>
      </c>
      <c r="J28" s="333">
        <f t="shared" si="2"/>
        <v>-0.9950470019901575</v>
      </c>
      <c r="K28" s="445">
        <f t="shared" si="5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3,1 - Local Economic Development</v>
      </c>
      <c r="B29" s="448"/>
      <c r="C29" s="753"/>
      <c r="D29" s="754">
        <v>20457497.620359998</v>
      </c>
      <c r="E29" s="755">
        <v>10471000</v>
      </c>
      <c r="F29" s="756"/>
      <c r="G29" s="755">
        <v>36686</v>
      </c>
      <c r="H29" s="756">
        <f>D29/12*8</f>
        <v>13638331.746906666</v>
      </c>
      <c r="I29" s="259">
        <f t="shared" si="1"/>
        <v>-13601645.746906666</v>
      </c>
      <c r="J29" s="333">
        <f t="shared" si="2"/>
        <v>-0.99731008156416778</v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Intergrated Development Plan</v>
      </c>
      <c r="B30" s="448"/>
      <c r="C30" s="753"/>
      <c r="D30" s="754"/>
      <c r="E30" s="755">
        <v>0</v>
      </c>
      <c r="F30" s="756"/>
      <c r="G30" s="755"/>
      <c r="H30" s="756"/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structure'!E27</f>
        <v>3,3 - Land Use Management</v>
      </c>
      <c r="B31" s="448"/>
      <c r="C31" s="753"/>
      <c r="D31" s="754"/>
      <c r="E31" s="755">
        <v>0</v>
      </c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structure'!E28</f>
        <v>3,4 - Spatial Planning</v>
      </c>
      <c r="B32" s="448"/>
      <c r="C32" s="753"/>
      <c r="D32" s="754"/>
      <c r="E32" s="755">
        <v>0</v>
      </c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structure'!E29</f>
        <v>3,5 - Town Planning</v>
      </c>
      <c r="B33" s="448"/>
      <c r="C33" s="753"/>
      <c r="D33" s="754"/>
      <c r="E33" s="755">
        <v>2154025.6799999997</v>
      </c>
      <c r="F33" s="756"/>
      <c r="G33" s="755">
        <v>30864.63</v>
      </c>
      <c r="H33" s="756"/>
      <c r="I33" s="45">
        <f t="shared" si="1"/>
        <v>30864.63</v>
      </c>
      <c r="J33" s="333" t="e">
        <f t="shared" si="2"/>
        <v>#DIV/0!</v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structure'!E30</f>
        <v xml:space="preserve">3,6 - Housing 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Technical Services</v>
      </c>
      <c r="B39" s="443"/>
      <c r="C39" s="506">
        <f t="shared" ref="C39:K39" si="6">SUM(C40:C49)</f>
        <v>108323895</v>
      </c>
      <c r="D39" s="447">
        <f t="shared" si="6"/>
        <v>177258612.46994415</v>
      </c>
      <c r="E39" s="444">
        <f t="shared" si="6"/>
        <v>180165139.39066002</v>
      </c>
      <c r="F39" s="446">
        <f t="shared" si="6"/>
        <v>4490480</v>
      </c>
      <c r="G39" s="444">
        <f t="shared" si="6"/>
        <v>100003504.05000001</v>
      </c>
      <c r="H39" s="446">
        <f t="shared" si="6"/>
        <v>118172408.31329612</v>
      </c>
      <c r="I39" s="45">
        <f t="shared" si="1"/>
        <v>-18168904.263296112</v>
      </c>
      <c r="J39" s="333">
        <f t="shared" si="2"/>
        <v>-0.15374912403517332</v>
      </c>
      <c r="K39" s="445">
        <f t="shared" si="6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Electricity</v>
      </c>
      <c r="B40" s="448"/>
      <c r="C40" s="753">
        <v>49236075</v>
      </c>
      <c r="D40" s="754">
        <v>65237273.147540003</v>
      </c>
      <c r="E40" s="755">
        <v>76811000</v>
      </c>
      <c r="F40" s="756">
        <v>3637796</v>
      </c>
      <c r="G40" s="755">
        <f>62561948.82+F40</f>
        <v>66199744.82</v>
      </c>
      <c r="H40" s="756">
        <f>D40/12*8</f>
        <v>43491515.431693338</v>
      </c>
      <c r="I40" s="45">
        <f t="shared" si="1"/>
        <v>22708229.388306662</v>
      </c>
      <c r="J40" s="333">
        <f t="shared" si="2"/>
        <v>0.52213010199590826</v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Sewerage Reticulation</v>
      </c>
      <c r="B41" s="448"/>
      <c r="C41" s="753">
        <v>1999528</v>
      </c>
      <c r="D41" s="754">
        <v>5163528.8162641581</v>
      </c>
      <c r="E41" s="755">
        <v>4983000</v>
      </c>
      <c r="F41" s="756">
        <v>206004</v>
      </c>
      <c r="G41" s="755">
        <f>1641748.14+F41</f>
        <v>1847752.14</v>
      </c>
      <c r="H41" s="756">
        <f>D41/12*8</f>
        <v>3442352.5441761054</v>
      </c>
      <c r="I41" s="45">
        <f t="shared" si="1"/>
        <v>-1594600.4041761055</v>
      </c>
      <c r="J41" s="333">
        <f t="shared" si="2"/>
        <v>-0.46322983590797728</v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structure'!E38</f>
        <v>4,3 - Public Works</v>
      </c>
      <c r="B42" s="448"/>
      <c r="C42" s="753"/>
      <c r="D42" s="754">
        <v>52183820.664899997</v>
      </c>
      <c r="E42" s="755">
        <v>29109820.84</v>
      </c>
      <c r="F42" s="756"/>
      <c r="G42" s="755">
        <f>238000-96709+2582000</f>
        <v>2723291</v>
      </c>
      <c r="H42" s="756">
        <f>D42/12*8</f>
        <v>34789213.776599996</v>
      </c>
      <c r="I42" s="45">
        <f t="shared" si="1"/>
        <v>-32065922.776599996</v>
      </c>
      <c r="J42" s="333">
        <f t="shared" si="2"/>
        <v>-0.9217202487676871</v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structure'!E39</f>
        <v>4,4 - Project Management Unit</v>
      </c>
      <c r="B43" s="448"/>
      <c r="C43" s="753">
        <v>49394052</v>
      </c>
      <c r="D43" s="754">
        <v>41038432.762740001</v>
      </c>
      <c r="E43" s="755">
        <v>27210000</v>
      </c>
      <c r="F43" s="756"/>
      <c r="G43" s="755">
        <v>19607854.229999997</v>
      </c>
      <c r="H43" s="756">
        <f>D43/12*8</f>
        <v>27358955.175160002</v>
      </c>
      <c r="I43" s="45">
        <f t="shared" si="1"/>
        <v>-7751100.9451600052</v>
      </c>
      <c r="J43" s="333">
        <f t="shared" si="2"/>
        <v>-0.28331129224545304</v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structure'!E40</f>
        <v>4,5 - Municipal Buildings</v>
      </c>
      <c r="B44" s="448"/>
      <c r="C44" s="753"/>
      <c r="D44" s="754">
        <v>2154025.5506599997</v>
      </c>
      <c r="E44" s="755">
        <v>25.550659999717027</v>
      </c>
      <c r="F44" s="756"/>
      <c r="G44" s="755"/>
      <c r="H44" s="756">
        <f>D44/12*8</f>
        <v>1436017.0337733331</v>
      </c>
      <c r="I44" s="45">
        <f t="shared" si="1"/>
        <v>-1436017.0337733331</v>
      </c>
      <c r="J44" s="333">
        <f t="shared" si="2"/>
        <v>-1</v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structure'!E41</f>
        <v>4,6 - Mechanical Workshop</v>
      </c>
      <c r="B45" s="448"/>
      <c r="C45" s="753"/>
      <c r="D45" s="754"/>
      <c r="E45" s="755">
        <v>28571293</v>
      </c>
      <c r="F45" s="756"/>
      <c r="G45" s="755">
        <v>96709</v>
      </c>
      <c r="H45" s="756">
        <f t="shared" ref="H45" si="7">D45/2</f>
        <v>0</v>
      </c>
      <c r="I45" s="45">
        <f t="shared" si="1"/>
        <v>96709</v>
      </c>
      <c r="J45" s="333" t="e">
        <f t="shared" si="2"/>
        <v>#DIV/0!</v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structure'!E42</f>
        <v>4,7 - Water</v>
      </c>
      <c r="B46" s="448"/>
      <c r="C46" s="753">
        <v>7694240</v>
      </c>
      <c r="D46" s="754">
        <v>11481531.527840002</v>
      </c>
      <c r="E46" s="755">
        <v>13480000</v>
      </c>
      <c r="F46" s="756">
        <v>646680</v>
      </c>
      <c r="G46" s="755">
        <f>8881472.86000001+F46</f>
        <v>9528152.8600000106</v>
      </c>
      <c r="H46" s="756">
        <f>D46/12*8</f>
        <v>7654354.3518933346</v>
      </c>
      <c r="I46" s="45">
        <f t="shared" si="1"/>
        <v>1873798.5081066759</v>
      </c>
      <c r="J46" s="333">
        <f t="shared" si="2"/>
        <v>0.24480164125706885</v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>
        <f t="shared" ref="H47:H49" si="8">D47/2</f>
        <v>0</v>
      </c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>
        <f t="shared" si="8"/>
        <v>0</v>
      </c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>
        <f t="shared" si="8"/>
        <v>0</v>
      </c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Community &amp; Social Services</v>
      </c>
      <c r="B50" s="443"/>
      <c r="C50" s="506">
        <f>SUM(C51:C60)</f>
        <v>17477650</v>
      </c>
      <c r="D50" s="447">
        <f t="shared" ref="D50:K50" si="9">SUM(D51:D60)</f>
        <v>45261173.121859983</v>
      </c>
      <c r="E50" s="444">
        <f t="shared" si="9"/>
        <v>36315589.290799975</v>
      </c>
      <c r="F50" s="446">
        <f t="shared" si="9"/>
        <v>984300</v>
      </c>
      <c r="G50" s="444">
        <f t="shared" si="9"/>
        <v>30365780.450000003</v>
      </c>
      <c r="H50" s="446">
        <f t="shared" si="9"/>
        <v>30174115.414573319</v>
      </c>
      <c r="I50" s="45">
        <f t="shared" si="1"/>
        <v>191665.03542668372</v>
      </c>
      <c r="J50" s="333">
        <f t="shared" si="2"/>
        <v>6.3519686590087889E-3</v>
      </c>
      <c r="K50" s="445">
        <f t="shared" si="9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Refuse</v>
      </c>
      <c r="B51" s="448"/>
      <c r="C51" s="753">
        <v>5853061</v>
      </c>
      <c r="D51" s="754">
        <v>14020965</v>
      </c>
      <c r="E51" s="755">
        <v>14135353.869999999</v>
      </c>
      <c r="F51" s="756">
        <v>648581</v>
      </c>
      <c r="G51" s="755">
        <f>7343145.3+F51</f>
        <v>7991726.2999999998</v>
      </c>
      <c r="H51" s="756">
        <f t="shared" ref="H51:H57" si="10">D51/12*8</f>
        <v>9347310</v>
      </c>
      <c r="I51" s="45">
        <f t="shared" si="1"/>
        <v>-1355583.7000000002</v>
      </c>
      <c r="J51" s="333">
        <f t="shared" si="2"/>
        <v>-0.14502393736807703</v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structure'!E48</f>
        <v>5,2 - Parks and Sports</v>
      </c>
      <c r="B52" s="448"/>
      <c r="C52" s="753"/>
      <c r="D52" s="754">
        <v>3002000</v>
      </c>
      <c r="E52" s="755">
        <v>3002000</v>
      </c>
      <c r="F52" s="756"/>
      <c r="G52" s="755">
        <v>1250941.1499999999</v>
      </c>
      <c r="H52" s="756">
        <f t="shared" si="10"/>
        <v>2001333.3333333333</v>
      </c>
      <c r="I52" s="45">
        <f t="shared" si="1"/>
        <v>-750392.18333333335</v>
      </c>
      <c r="J52" s="333">
        <f t="shared" si="2"/>
        <v>-0.37494612758161228</v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structure'!E49</f>
        <v>5,3 - Streets</v>
      </c>
      <c r="B53" s="448"/>
      <c r="C53" s="753"/>
      <c r="D53" s="754">
        <v>2002000</v>
      </c>
      <c r="E53" s="755">
        <v>2002000</v>
      </c>
      <c r="F53" s="756"/>
      <c r="G53" s="755">
        <v>834173.21</v>
      </c>
      <c r="H53" s="756">
        <f t="shared" si="10"/>
        <v>1334666.6666666667</v>
      </c>
      <c r="I53" s="45">
        <f t="shared" si="1"/>
        <v>-500493.45666666678</v>
      </c>
      <c r="J53" s="333">
        <f t="shared" si="2"/>
        <v>-0.37499509740259745</v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structure'!E50</f>
        <v>5,4 - Traffic</v>
      </c>
      <c r="B54" s="448"/>
      <c r="C54" s="753">
        <v>9441700</v>
      </c>
      <c r="D54" s="754">
        <v>14532083.225099992</v>
      </c>
      <c r="E54" s="755">
        <v>5968083.225099992</v>
      </c>
      <c r="F54" s="756">
        <v>335719</v>
      </c>
      <c r="G54" s="755">
        <f>9607076.19+F54</f>
        <v>9942795.1899999995</v>
      </c>
      <c r="H54" s="756">
        <f t="shared" si="10"/>
        <v>9688055.4833999947</v>
      </c>
      <c r="I54" s="45">
        <f t="shared" si="1"/>
        <v>254739.70660000481</v>
      </c>
      <c r="J54" s="333">
        <f t="shared" si="2"/>
        <v>2.6294203933543602E-2</v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structure'!E51</f>
        <v>5,5 - Cemeteries</v>
      </c>
      <c r="B55" s="448"/>
      <c r="C55" s="753">
        <v>1464000</v>
      </c>
      <c r="D55" s="754">
        <v>514596.19569999055</v>
      </c>
      <c r="E55" s="755">
        <v>518152.19569999055</v>
      </c>
      <c r="F55" s="756"/>
      <c r="G55" s="755">
        <v>258037.6</v>
      </c>
      <c r="H55" s="756">
        <f t="shared" si="10"/>
        <v>343064.13046666037</v>
      </c>
      <c r="I55" s="45">
        <f t="shared" si="1"/>
        <v>-85026.530466660362</v>
      </c>
      <c r="J55" s="333">
        <f t="shared" si="2"/>
        <v>-0.24784442008262769</v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structure'!E52</f>
        <v>5,6 - Libraries</v>
      </c>
      <c r="B56" s="448"/>
      <c r="C56" s="753">
        <v>718889</v>
      </c>
      <c r="D56" s="754">
        <v>1134528.7010599999</v>
      </c>
      <c r="E56" s="755">
        <v>635000</v>
      </c>
      <c r="F56" s="756"/>
      <c r="G56" s="755">
        <v>33107</v>
      </c>
      <c r="H56" s="756">
        <f t="shared" si="10"/>
        <v>756352.46737333329</v>
      </c>
      <c r="I56" s="45">
        <f t="shared" si="1"/>
        <v>-723245.46737333329</v>
      </c>
      <c r="J56" s="333">
        <f t="shared" si="2"/>
        <v>-0.95622807959498801</v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structure'!E53</f>
        <v>5,7 - Security Services</v>
      </c>
      <c r="B57" s="448"/>
      <c r="C57" s="753"/>
      <c r="D57" s="754">
        <v>10055000</v>
      </c>
      <c r="E57" s="755">
        <v>10055000</v>
      </c>
      <c r="F57" s="756"/>
      <c r="G57" s="755">
        <v>10055000</v>
      </c>
      <c r="H57" s="756">
        <f t="shared" si="10"/>
        <v>6703333.333333333</v>
      </c>
      <c r="I57" s="45">
        <f t="shared" si="1"/>
        <v>3351666.666666667</v>
      </c>
      <c r="J57" s="333">
        <f t="shared" si="2"/>
        <v>0.50000000000000011</v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11">SUM(D62:D71)</f>
        <v>0</v>
      </c>
      <c r="E61" s="444">
        <f t="shared" si="11"/>
        <v>0</v>
      </c>
      <c r="F61" s="446">
        <f t="shared" si="11"/>
        <v>0</v>
      </c>
      <c r="G61" s="444">
        <f t="shared" si="11"/>
        <v>0</v>
      </c>
      <c r="H61" s="446">
        <f t="shared" si="11"/>
        <v>0</v>
      </c>
      <c r="I61" s="45">
        <f t="shared" si="1"/>
        <v>0</v>
      </c>
      <c r="J61" s="333" t="str">
        <f t="shared" si="2"/>
        <v/>
      </c>
      <c r="K61" s="445">
        <f t="shared" si="11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12">G70-H70</f>
        <v>0</v>
      </c>
      <c r="J70" s="333" t="str">
        <f t="shared" ref="J70:J133" si="13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12"/>
        <v>0</v>
      </c>
      <c r="J71" s="333" t="str">
        <f t="shared" si="13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[NAME OF VOTE 7]</v>
      </c>
      <c r="B72" s="443"/>
      <c r="C72" s="506">
        <f t="shared" ref="C72:K72" si="14">SUM(C73:C82)</f>
        <v>0</v>
      </c>
      <c r="D72" s="447">
        <f t="shared" si="14"/>
        <v>0</v>
      </c>
      <c r="E72" s="444">
        <f t="shared" si="14"/>
        <v>0</v>
      </c>
      <c r="F72" s="446">
        <f t="shared" si="14"/>
        <v>0</v>
      </c>
      <c r="G72" s="444">
        <f t="shared" si="14"/>
        <v>0</v>
      </c>
      <c r="H72" s="446">
        <f t="shared" si="14"/>
        <v>0</v>
      </c>
      <c r="I72" s="45">
        <f t="shared" si="12"/>
        <v>0</v>
      </c>
      <c r="J72" s="333" t="str">
        <f t="shared" si="13"/>
        <v/>
      </c>
      <c r="K72" s="445">
        <f t="shared" si="14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12"/>
        <v>0</v>
      </c>
      <c r="J73" s="333" t="str">
        <f t="shared" si="13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12"/>
        <v>0</v>
      </c>
      <c r="J74" s="333" t="str">
        <f t="shared" si="13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12"/>
        <v>0</v>
      </c>
      <c r="J75" s="333" t="str">
        <f t="shared" si="13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12"/>
        <v>0</v>
      </c>
      <c r="J76" s="333" t="str">
        <f t="shared" si="13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12"/>
        <v>0</v>
      </c>
      <c r="J77" s="333" t="str">
        <f t="shared" si="13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12"/>
        <v>0</v>
      </c>
      <c r="J78" s="333" t="str">
        <f t="shared" si="13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12"/>
        <v>0</v>
      </c>
      <c r="J79" s="333" t="str">
        <f t="shared" si="13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12"/>
        <v>0</v>
      </c>
      <c r="J80" s="333" t="str">
        <f t="shared" si="13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12"/>
        <v>0</v>
      </c>
      <c r="J81" s="333" t="str">
        <f t="shared" si="13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12"/>
        <v>0</v>
      </c>
      <c r="J82" s="333" t="str">
        <f t="shared" si="13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5">SUM(D84:D93)</f>
        <v>0</v>
      </c>
      <c r="E83" s="444">
        <f t="shared" si="15"/>
        <v>0</v>
      </c>
      <c r="F83" s="446">
        <f t="shared" si="15"/>
        <v>0</v>
      </c>
      <c r="G83" s="444">
        <f t="shared" si="15"/>
        <v>0</v>
      </c>
      <c r="H83" s="446">
        <f t="shared" si="15"/>
        <v>0</v>
      </c>
      <c r="I83" s="45">
        <f t="shared" si="12"/>
        <v>0</v>
      </c>
      <c r="J83" s="333" t="str">
        <f t="shared" si="13"/>
        <v/>
      </c>
      <c r="K83" s="445">
        <f t="shared" si="15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12"/>
        <v>0</v>
      </c>
      <c r="J84" s="333" t="str">
        <f t="shared" si="13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12"/>
        <v>0</v>
      </c>
      <c r="J85" s="333" t="str">
        <f t="shared" si="13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12"/>
        <v>0</v>
      </c>
      <c r="J86" s="333" t="str">
        <f t="shared" si="13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12"/>
        <v>0</v>
      </c>
      <c r="J87" s="333" t="str">
        <f t="shared" si="13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12"/>
        <v>0</v>
      </c>
      <c r="J88" s="333" t="str">
        <f t="shared" si="13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12"/>
        <v>0</v>
      </c>
      <c r="J89" s="333" t="str">
        <f t="shared" si="13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12"/>
        <v>0</v>
      </c>
      <c r="J90" s="333" t="str">
        <f t="shared" si="13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12"/>
        <v>0</v>
      </c>
      <c r="J91" s="333" t="str">
        <f t="shared" si="13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12"/>
        <v>0</v>
      </c>
      <c r="J92" s="333" t="str">
        <f t="shared" si="13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12"/>
        <v>0</v>
      </c>
      <c r="J93" s="333" t="str">
        <f t="shared" si="13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6">SUM(D95:D104)</f>
        <v>0</v>
      </c>
      <c r="E94" s="444">
        <f t="shared" si="16"/>
        <v>0</v>
      </c>
      <c r="F94" s="446">
        <f t="shared" si="16"/>
        <v>0</v>
      </c>
      <c r="G94" s="444">
        <f t="shared" si="16"/>
        <v>0</v>
      </c>
      <c r="H94" s="446">
        <f t="shared" si="16"/>
        <v>0</v>
      </c>
      <c r="I94" s="45">
        <f t="shared" si="12"/>
        <v>0</v>
      </c>
      <c r="J94" s="333" t="str">
        <f t="shared" si="13"/>
        <v/>
      </c>
      <c r="K94" s="445">
        <f t="shared" si="16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12"/>
        <v>0</v>
      </c>
      <c r="J95" s="333" t="str">
        <f t="shared" si="13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12"/>
        <v>0</v>
      </c>
      <c r="J96" s="333" t="str">
        <f t="shared" si="13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12"/>
        <v>0</v>
      </c>
      <c r="J97" s="333" t="str">
        <f t="shared" si="13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12"/>
        <v>0</v>
      </c>
      <c r="J98" s="333" t="str">
        <f t="shared" si="13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12"/>
        <v>0</v>
      </c>
      <c r="J99" s="333" t="str">
        <f t="shared" si="13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12"/>
        <v>0</v>
      </c>
      <c r="J100" s="333" t="str">
        <f t="shared" si="13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12"/>
        <v>0</v>
      </c>
      <c r="J101" s="333" t="str">
        <f t="shared" si="13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12"/>
        <v>0</v>
      </c>
      <c r="J102" s="333" t="str">
        <f t="shared" si="13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12"/>
        <v>0</v>
      </c>
      <c r="J103" s="333" t="str">
        <f t="shared" si="13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12"/>
        <v>0</v>
      </c>
      <c r="J104" s="333" t="str">
        <f t="shared" si="13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7">SUM(D106:D115)</f>
        <v>0</v>
      </c>
      <c r="E105" s="444">
        <f t="shared" si="17"/>
        <v>0</v>
      </c>
      <c r="F105" s="446">
        <f t="shared" si="17"/>
        <v>0</v>
      </c>
      <c r="G105" s="444">
        <f t="shared" si="17"/>
        <v>0</v>
      </c>
      <c r="H105" s="446">
        <f t="shared" si="17"/>
        <v>0</v>
      </c>
      <c r="I105" s="45">
        <f t="shared" si="12"/>
        <v>0</v>
      </c>
      <c r="J105" s="333" t="str">
        <f t="shared" si="13"/>
        <v/>
      </c>
      <c r="K105" s="445">
        <f t="shared" si="17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12"/>
        <v>0</v>
      </c>
      <c r="J106" s="333" t="str">
        <f t="shared" si="13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12"/>
        <v>0</v>
      </c>
      <c r="J107" s="333" t="str">
        <f t="shared" si="13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12"/>
        <v>0</v>
      </c>
      <c r="J108" s="333" t="str">
        <f t="shared" si="13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12"/>
        <v>0</v>
      </c>
      <c r="J109" s="333" t="str">
        <f t="shared" si="13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12"/>
        <v>0</v>
      </c>
      <c r="J110" s="333" t="str">
        <f t="shared" si="13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12"/>
        <v>0</v>
      </c>
      <c r="J111" s="333" t="str">
        <f t="shared" si="13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12"/>
        <v>0</v>
      </c>
      <c r="J112" s="333" t="str">
        <f t="shared" si="13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12"/>
        <v>0</v>
      </c>
      <c r="J113" s="333" t="str">
        <f t="shared" si="13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12"/>
        <v>0</v>
      </c>
      <c r="J114" s="333" t="str">
        <f t="shared" si="13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12"/>
        <v>0</v>
      </c>
      <c r="J115" s="333" t="str">
        <f t="shared" si="13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8">SUM(D117:D126)</f>
        <v>0</v>
      </c>
      <c r="E116" s="444">
        <f t="shared" si="18"/>
        <v>0</v>
      </c>
      <c r="F116" s="446">
        <f t="shared" si="18"/>
        <v>0</v>
      </c>
      <c r="G116" s="444">
        <f t="shared" si="18"/>
        <v>0</v>
      </c>
      <c r="H116" s="446">
        <f t="shared" si="18"/>
        <v>0</v>
      </c>
      <c r="I116" s="45">
        <f t="shared" si="12"/>
        <v>0</v>
      </c>
      <c r="J116" s="333" t="str">
        <f t="shared" si="13"/>
        <v/>
      </c>
      <c r="K116" s="445">
        <f t="shared" si="18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12"/>
        <v>0</v>
      </c>
      <c r="J117" s="333" t="str">
        <f t="shared" si="13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12"/>
        <v>0</v>
      </c>
      <c r="J118" s="333" t="str">
        <f t="shared" si="13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12"/>
        <v>0</v>
      </c>
      <c r="J119" s="333" t="str">
        <f t="shared" si="13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12"/>
        <v>0</v>
      </c>
      <c r="J120" s="333" t="str">
        <f t="shared" si="13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12"/>
        <v>0</v>
      </c>
      <c r="J121" s="333" t="str">
        <f t="shared" si="13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12"/>
        <v>0</v>
      </c>
      <c r="J122" s="333" t="str">
        <f t="shared" si="13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12"/>
        <v>0</v>
      </c>
      <c r="J123" s="333" t="str">
        <f t="shared" si="13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12"/>
        <v>0</v>
      </c>
      <c r="J124" s="333" t="str">
        <f t="shared" si="13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12"/>
        <v>0</v>
      </c>
      <c r="J125" s="333" t="str">
        <f t="shared" si="13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12"/>
        <v>0</v>
      </c>
      <c r="J126" s="333" t="str">
        <f t="shared" si="13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9">SUM(D128:D137)</f>
        <v>0</v>
      </c>
      <c r="E127" s="444">
        <f t="shared" si="19"/>
        <v>0</v>
      </c>
      <c r="F127" s="446">
        <f t="shared" si="19"/>
        <v>0</v>
      </c>
      <c r="G127" s="444">
        <f t="shared" si="19"/>
        <v>0</v>
      </c>
      <c r="H127" s="446">
        <f t="shared" si="19"/>
        <v>0</v>
      </c>
      <c r="I127" s="45">
        <f t="shared" si="12"/>
        <v>0</v>
      </c>
      <c r="J127" s="333" t="str">
        <f t="shared" si="13"/>
        <v/>
      </c>
      <c r="K127" s="445">
        <f t="shared" si="19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12"/>
        <v>0</v>
      </c>
      <c r="J128" s="333" t="str">
        <f t="shared" si="13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12"/>
        <v>0</v>
      </c>
      <c r="J129" s="333" t="str">
        <f t="shared" si="13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12"/>
        <v>0</v>
      </c>
      <c r="J130" s="333" t="str">
        <f t="shared" si="13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12"/>
        <v>0</v>
      </c>
      <c r="J131" s="333" t="str">
        <f t="shared" si="13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12"/>
        <v>0</v>
      </c>
      <c r="J132" s="333" t="str">
        <f t="shared" si="13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12"/>
        <v>0</v>
      </c>
      <c r="J133" s="333" t="str">
        <f t="shared" si="13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20">G134-H134</f>
        <v>0</v>
      </c>
      <c r="J134" s="333" t="str">
        <f t="shared" ref="J134:J197" si="21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20"/>
        <v>0</v>
      </c>
      <c r="J135" s="333" t="str">
        <f t="shared" si="21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20"/>
        <v>0</v>
      </c>
      <c r="J136" s="333" t="str">
        <f t="shared" si="21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20"/>
        <v>0</v>
      </c>
      <c r="J137" s="333" t="str">
        <f t="shared" si="21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22">SUM(D139:D148)</f>
        <v>0</v>
      </c>
      <c r="E138" s="444">
        <f t="shared" si="22"/>
        <v>0</v>
      </c>
      <c r="F138" s="446">
        <f t="shared" si="22"/>
        <v>0</v>
      </c>
      <c r="G138" s="444">
        <f t="shared" si="22"/>
        <v>0</v>
      </c>
      <c r="H138" s="446">
        <f t="shared" si="22"/>
        <v>0</v>
      </c>
      <c r="I138" s="45">
        <f t="shared" si="20"/>
        <v>0</v>
      </c>
      <c r="J138" s="333" t="str">
        <f t="shared" si="21"/>
        <v/>
      </c>
      <c r="K138" s="445">
        <f t="shared" si="22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20"/>
        <v>0</v>
      </c>
      <c r="J139" s="333" t="str">
        <f t="shared" si="21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20"/>
        <v>0</v>
      </c>
      <c r="J140" s="333" t="str">
        <f t="shared" si="21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20"/>
        <v>0</v>
      </c>
      <c r="J141" s="333" t="str">
        <f t="shared" si="21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20"/>
        <v>0</v>
      </c>
      <c r="J142" s="333" t="str">
        <f t="shared" si="21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20"/>
        <v>0</v>
      </c>
      <c r="J143" s="333" t="str">
        <f t="shared" si="21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20"/>
        <v>0</v>
      </c>
      <c r="J144" s="333" t="str">
        <f t="shared" si="21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20"/>
        <v>0</v>
      </c>
      <c r="J145" s="333" t="str">
        <f t="shared" si="21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20"/>
        <v>0</v>
      </c>
      <c r="J146" s="333" t="str">
        <f t="shared" si="21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20"/>
        <v>0</v>
      </c>
      <c r="J147" s="333" t="str">
        <f t="shared" si="21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20"/>
        <v>0</v>
      </c>
      <c r="J148" s="333" t="str">
        <f t="shared" si="21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23">SUM(D150:D159)</f>
        <v>0</v>
      </c>
      <c r="E149" s="444">
        <f t="shared" si="23"/>
        <v>0</v>
      </c>
      <c r="F149" s="446">
        <f t="shared" si="23"/>
        <v>0</v>
      </c>
      <c r="G149" s="444">
        <f t="shared" si="23"/>
        <v>0</v>
      </c>
      <c r="H149" s="446">
        <f t="shared" si="23"/>
        <v>0</v>
      </c>
      <c r="I149" s="45">
        <f t="shared" si="20"/>
        <v>0</v>
      </c>
      <c r="J149" s="333" t="str">
        <f t="shared" si="21"/>
        <v/>
      </c>
      <c r="K149" s="445">
        <f t="shared" si="23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20"/>
        <v>0</v>
      </c>
      <c r="J150" s="333" t="str">
        <f t="shared" si="21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20"/>
        <v>0</v>
      </c>
      <c r="J151" s="333" t="str">
        <f t="shared" si="21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20"/>
        <v>0</v>
      </c>
      <c r="J152" s="333" t="str">
        <f t="shared" si="21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20"/>
        <v>0</v>
      </c>
      <c r="J153" s="333" t="str">
        <f t="shared" si="21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20"/>
        <v>0</v>
      </c>
      <c r="J154" s="333" t="str">
        <f t="shared" si="21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20"/>
        <v>0</v>
      </c>
      <c r="J155" s="333" t="str">
        <f t="shared" si="21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20"/>
        <v>0</v>
      </c>
      <c r="J156" s="333" t="str">
        <f t="shared" si="21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20"/>
        <v>0</v>
      </c>
      <c r="J157" s="333" t="str">
        <f t="shared" si="21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20"/>
        <v>0</v>
      </c>
      <c r="J158" s="333" t="str">
        <f t="shared" si="21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20"/>
        <v>0</v>
      </c>
      <c r="J159" s="333" t="str">
        <f t="shared" si="21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4">SUM(D161:D170)</f>
        <v>0</v>
      </c>
      <c r="E160" s="444">
        <f t="shared" si="24"/>
        <v>0</v>
      </c>
      <c r="F160" s="446">
        <f t="shared" si="24"/>
        <v>0</v>
      </c>
      <c r="G160" s="444">
        <f t="shared" si="24"/>
        <v>0</v>
      </c>
      <c r="H160" s="446">
        <f t="shared" si="24"/>
        <v>0</v>
      </c>
      <c r="I160" s="45">
        <f t="shared" si="20"/>
        <v>0</v>
      </c>
      <c r="J160" s="333" t="str">
        <f t="shared" si="21"/>
        <v/>
      </c>
      <c r="K160" s="445">
        <f t="shared" si="24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20"/>
        <v>0</v>
      </c>
      <c r="J161" s="333" t="str">
        <f t="shared" si="21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20"/>
        <v>0</v>
      </c>
      <c r="J162" s="333" t="str">
        <f t="shared" si="21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20"/>
        <v>0</v>
      </c>
      <c r="J163" s="333" t="str">
        <f t="shared" si="21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20"/>
        <v>0</v>
      </c>
      <c r="J164" s="333" t="str">
        <f t="shared" si="21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20"/>
        <v>0</v>
      </c>
      <c r="J165" s="333" t="str">
        <f t="shared" si="21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20"/>
        <v>0</v>
      </c>
      <c r="J166" s="333" t="str">
        <f t="shared" si="21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20"/>
        <v>0</v>
      </c>
      <c r="J167" s="333" t="str">
        <f t="shared" si="21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20"/>
        <v>0</v>
      </c>
      <c r="J168" s="333" t="str">
        <f t="shared" si="21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20"/>
        <v>0</v>
      </c>
      <c r="J169" s="333" t="str">
        <f t="shared" si="21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20"/>
        <v>0</v>
      </c>
      <c r="J170" s="333" t="str">
        <f t="shared" si="21"/>
        <v/>
      </c>
      <c r="K170" s="757"/>
      <c r="L170" s="455">
        <f t="shared" ref="L170:W170" si="25">SUM(L78:L81)</f>
        <v>0</v>
      </c>
      <c r="M170" s="456">
        <f t="shared" si="25"/>
        <v>0</v>
      </c>
      <c r="N170" s="456">
        <f t="shared" si="25"/>
        <v>0</v>
      </c>
      <c r="O170" s="456">
        <f t="shared" si="25"/>
        <v>0</v>
      </c>
      <c r="P170" s="456">
        <f t="shared" si="25"/>
        <v>0</v>
      </c>
      <c r="Q170" s="456">
        <f t="shared" si="25"/>
        <v>0</v>
      </c>
      <c r="R170" s="456">
        <f t="shared" si="25"/>
        <v>0</v>
      </c>
      <c r="S170" s="456">
        <f t="shared" si="25"/>
        <v>0</v>
      </c>
      <c r="T170" s="456">
        <f t="shared" si="25"/>
        <v>0</v>
      </c>
      <c r="U170" s="456">
        <f t="shared" si="25"/>
        <v>0</v>
      </c>
      <c r="V170" s="456">
        <f t="shared" si="25"/>
        <v>0</v>
      </c>
      <c r="W170" s="456">
        <f t="shared" si="25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259590523</v>
      </c>
      <c r="D171" s="454">
        <f t="shared" ref="D171:K171" si="26">D6+D17+D28+D39+D50+D61+D72+D83+D94+D105+D116+D127+D138+D149+D160</f>
        <v>362208835.51280409</v>
      </c>
      <c r="E171" s="451">
        <f t="shared" si="26"/>
        <v>350983750.36145997</v>
      </c>
      <c r="F171" s="453">
        <f t="shared" si="26"/>
        <v>7723406</v>
      </c>
      <c r="G171" s="451">
        <f t="shared" si="26"/>
        <v>218639509.56</v>
      </c>
      <c r="H171" s="453">
        <f t="shared" si="26"/>
        <v>241472557.0085361</v>
      </c>
      <c r="I171" s="517">
        <f t="shared" si="20"/>
        <v>-22833047.448536098</v>
      </c>
      <c r="J171" s="518">
        <f t="shared" si="21"/>
        <v>-9.4557525424013064E-2</v>
      </c>
      <c r="K171" s="452">
        <f t="shared" si="26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20"/>
        <v>0</v>
      </c>
      <c r="J172" s="134" t="str">
        <f t="shared" si="21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20"/>
        <v>0</v>
      </c>
      <c r="J173" s="333" t="str">
        <f t="shared" si="21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Executive &amp; Council</v>
      </c>
      <c r="B174" s="470"/>
      <c r="C174" s="510">
        <f t="shared" ref="C174:K174" si="27">SUM(C175:C184)</f>
        <v>22018516</v>
      </c>
      <c r="D174" s="474">
        <f t="shared" si="27"/>
        <v>41624569.556634203</v>
      </c>
      <c r="E174" s="471">
        <f t="shared" si="27"/>
        <v>41463777.299999997</v>
      </c>
      <c r="F174" s="473">
        <f t="shared" si="27"/>
        <v>2770511.6900000004</v>
      </c>
      <c r="G174" s="473">
        <f t="shared" si="27"/>
        <v>25367689.510000002</v>
      </c>
      <c r="H174" s="473">
        <f t="shared" si="27"/>
        <v>27749713.037756134</v>
      </c>
      <c r="I174" s="45">
        <f t="shared" si="20"/>
        <v>-2382023.5277561322</v>
      </c>
      <c r="J174" s="333">
        <f t="shared" si="21"/>
        <v>-8.5839573350368042E-2</v>
      </c>
      <c r="K174" s="472">
        <f t="shared" si="27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Mayor</v>
      </c>
      <c r="B175" s="448"/>
      <c r="C175" s="758"/>
      <c r="D175" s="759">
        <v>5039711.7084499989</v>
      </c>
      <c r="E175" s="747">
        <v>4703078.9000000004</v>
      </c>
      <c r="F175" s="760">
        <v>1420944.99</v>
      </c>
      <c r="G175" s="747">
        <f>6739266+F175</f>
        <v>8160210.9900000002</v>
      </c>
      <c r="H175" s="756">
        <f>D175/12*8</f>
        <v>3359807.8056333326</v>
      </c>
      <c r="I175" s="45">
        <f t="shared" si="20"/>
        <v>4800403.1843666676</v>
      </c>
      <c r="J175" s="333">
        <f t="shared" si="21"/>
        <v>1.4287731507492523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Speaker</v>
      </c>
      <c r="B176" s="448"/>
      <c r="C176" s="758"/>
      <c r="D176" s="759">
        <v>5988089.0057999995</v>
      </c>
      <c r="E176" s="747">
        <v>5366819.95</v>
      </c>
      <c r="F176" s="760"/>
      <c r="G176" s="747">
        <v>6739266</v>
      </c>
      <c r="H176" s="756">
        <f>D176/12*8</f>
        <v>3992059.3371999995</v>
      </c>
      <c r="I176" s="45">
        <f t="shared" si="20"/>
        <v>2747206.6628000005</v>
      </c>
      <c r="J176" s="333">
        <f t="shared" si="21"/>
        <v>0.68816779279810769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Council</v>
      </c>
      <c r="B177" s="448"/>
      <c r="C177" s="758">
        <v>14815624</v>
      </c>
      <c r="D177" s="759">
        <v>14993457.667665601</v>
      </c>
      <c r="E177" s="747">
        <v>14621242.720000001</v>
      </c>
      <c r="F177" s="760"/>
      <c r="G177" s="747">
        <v>6739266</v>
      </c>
      <c r="H177" s="756">
        <f>D177/12*8</f>
        <v>9995638.4451104011</v>
      </c>
      <c r="I177" s="45">
        <f t="shared" si="20"/>
        <v>-3256372.4451104011</v>
      </c>
      <c r="J177" s="333">
        <f t="shared" si="21"/>
        <v>-0.32577933495617095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Municipal Manager</v>
      </c>
      <c r="B178" s="448"/>
      <c r="C178" s="758">
        <v>7202892</v>
      </c>
      <c r="D178" s="759">
        <v>7054319.9078000002</v>
      </c>
      <c r="E178" s="747">
        <v>8345000</v>
      </c>
      <c r="F178" s="760">
        <v>1349566.7000000002</v>
      </c>
      <c r="G178" s="747">
        <f>2379379.82+F178</f>
        <v>3728946.52</v>
      </c>
      <c r="H178" s="756">
        <f>D178/12*8</f>
        <v>4702879.9385333331</v>
      </c>
      <c r="I178" s="45">
        <f t="shared" si="20"/>
        <v>-973933.41853333311</v>
      </c>
      <c r="J178" s="333">
        <f t="shared" si="21"/>
        <v>-0.20709297946421093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Internal Audit</v>
      </c>
      <c r="B179" s="448"/>
      <c r="C179" s="758"/>
      <c r="D179" s="759">
        <v>8548991.2669186052</v>
      </c>
      <c r="E179" s="747">
        <v>8427635.7300000004</v>
      </c>
      <c r="F179" s="760"/>
      <c r="G179" s="747"/>
      <c r="H179" s="756">
        <f>D179/12*8</f>
        <v>5699327.5112790698</v>
      </c>
      <c r="I179" s="45">
        <f t="shared" si="20"/>
        <v>-5699327.5112790698</v>
      </c>
      <c r="J179" s="333">
        <f t="shared" si="21"/>
        <v>-1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>
        <f t="shared" ref="H180:H195" si="28">D180/2</f>
        <v>0</v>
      </c>
      <c r="I180" s="45">
        <f t="shared" si="20"/>
        <v>0</v>
      </c>
      <c r="J180" s="333" t="str">
        <f t="shared" si="21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>
        <f t="shared" si="28"/>
        <v>0</v>
      </c>
      <c r="I181" s="45">
        <f t="shared" si="20"/>
        <v>0</v>
      </c>
      <c r="J181" s="333" t="str">
        <f t="shared" si="21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>
        <f t="shared" si="28"/>
        <v>0</v>
      </c>
      <c r="I182" s="45">
        <f t="shared" si="20"/>
        <v>0</v>
      </c>
      <c r="J182" s="333" t="str">
        <f t="shared" si="21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>
        <f t="shared" si="28"/>
        <v>0</v>
      </c>
      <c r="I183" s="45">
        <f t="shared" si="20"/>
        <v>0</v>
      </c>
      <c r="J183" s="333" t="str">
        <f t="shared" si="21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>
        <f t="shared" si="28"/>
        <v>0</v>
      </c>
      <c r="I184" s="45">
        <f t="shared" si="20"/>
        <v>0</v>
      </c>
      <c r="J184" s="333" t="str">
        <f t="shared" si="21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Finance &amp; Administration</v>
      </c>
      <c r="B185" s="443"/>
      <c r="C185" s="506">
        <f>SUM(C186:C195)</f>
        <v>194590887</v>
      </c>
      <c r="D185" s="447">
        <f>SUM(D186:D195)</f>
        <v>76211661.700174823</v>
      </c>
      <c r="E185" s="444">
        <f t="shared" ref="E185:K185" si="29">SUM(E186:E195)</f>
        <v>87872416.560000002</v>
      </c>
      <c r="F185" s="446">
        <f t="shared" si="29"/>
        <v>3428526.86</v>
      </c>
      <c r="G185" s="446">
        <f t="shared" si="29"/>
        <v>42389985.660000004</v>
      </c>
      <c r="H185" s="446">
        <f t="shared" si="29"/>
        <v>50807774.466783211</v>
      </c>
      <c r="I185" s="45">
        <f t="shared" si="20"/>
        <v>-8417788.8067832068</v>
      </c>
      <c r="J185" s="333">
        <f t="shared" si="21"/>
        <v>-0.16567914842021936</v>
      </c>
      <c r="K185" s="445">
        <f t="shared" si="29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Budget &amp; Treasury</v>
      </c>
      <c r="B186" s="448"/>
      <c r="C186" s="758">
        <v>82093804</v>
      </c>
      <c r="D186" s="759">
        <v>51238458.250714824</v>
      </c>
      <c r="E186" s="747">
        <v>57394303.739999995</v>
      </c>
      <c r="F186" s="760">
        <v>2126076.71</v>
      </c>
      <c r="G186" s="747">
        <f>23986620.07+F186</f>
        <v>26112696.780000001</v>
      </c>
      <c r="H186" s="756">
        <f>D186/12*8</f>
        <v>34158972.167143218</v>
      </c>
      <c r="I186" s="45">
        <f t="shared" si="20"/>
        <v>-8046275.387143217</v>
      </c>
      <c r="J186" s="333">
        <f t="shared" si="21"/>
        <v>-0.23555379089780565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Human Resources</v>
      </c>
      <c r="B187" s="448"/>
      <c r="C187" s="758">
        <v>112382442</v>
      </c>
      <c r="D187" s="759">
        <v>18865489.24853</v>
      </c>
      <c r="E187" s="747">
        <v>5968000</v>
      </c>
      <c r="F187" s="760">
        <v>1302450.1499999999</v>
      </c>
      <c r="G187" s="747">
        <f>14974838.73+F187</f>
        <v>16277288.880000001</v>
      </c>
      <c r="H187" s="756">
        <f>D187/12*8</f>
        <v>12576992.832353333</v>
      </c>
      <c r="I187" s="45">
        <f t="shared" si="20"/>
        <v>3700296.0476466678</v>
      </c>
      <c r="J187" s="333">
        <f t="shared" si="21"/>
        <v>0.29421150961682546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Information Technology</v>
      </c>
      <c r="B188" s="448"/>
      <c r="C188" s="758">
        <v>114641</v>
      </c>
      <c r="D188" s="759">
        <v>3189801.25055</v>
      </c>
      <c r="E188" s="747">
        <v>18524069</v>
      </c>
      <c r="F188" s="760"/>
      <c r="G188" s="747"/>
      <c r="H188" s="756">
        <f>D188/12*8</f>
        <v>2126534.1670333333</v>
      </c>
      <c r="I188" s="45">
        <f t="shared" si="20"/>
        <v>-2126534.1670333333</v>
      </c>
      <c r="J188" s="333">
        <f t="shared" si="21"/>
        <v>-1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Records &amp; Registry</v>
      </c>
      <c r="B189" s="448"/>
      <c r="C189" s="758"/>
      <c r="D189" s="759">
        <v>2022495.700230001</v>
      </c>
      <c r="E189" s="747">
        <v>5986043.8200000003</v>
      </c>
      <c r="F189" s="760"/>
      <c r="G189" s="747"/>
      <c r="H189" s="756">
        <f>D189/12*8</f>
        <v>1348330.4668200007</v>
      </c>
      <c r="I189" s="45">
        <f t="shared" si="20"/>
        <v>-1348330.4668200007</v>
      </c>
      <c r="J189" s="333">
        <f t="shared" si="21"/>
        <v>-1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Labour Relations</v>
      </c>
      <c r="B190" s="448"/>
      <c r="C190" s="758"/>
      <c r="D190" s="759">
        <v>895417.25014999998</v>
      </c>
      <c r="E190" s="747">
        <v>0</v>
      </c>
      <c r="F190" s="760"/>
      <c r="G190" s="747"/>
      <c r="H190" s="756">
        <f>D190/12*8</f>
        <v>596944.83343333332</v>
      </c>
      <c r="I190" s="45">
        <f t="shared" si="20"/>
        <v>-596944.83343333332</v>
      </c>
      <c r="J190" s="333">
        <f t="shared" si="21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>
        <v>0</v>
      </c>
      <c r="F191" s="760"/>
      <c r="G191" s="747"/>
      <c r="H191" s="760">
        <f t="shared" si="28"/>
        <v>0</v>
      </c>
      <c r="I191" s="45">
        <f t="shared" si="20"/>
        <v>0</v>
      </c>
      <c r="J191" s="333" t="str">
        <f t="shared" si="21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>
        <f t="shared" si="28"/>
        <v>0</v>
      </c>
      <c r="I192" s="45">
        <f t="shared" si="20"/>
        <v>0</v>
      </c>
      <c r="J192" s="333" t="str">
        <f t="shared" si="21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>
        <f t="shared" si="28"/>
        <v>0</v>
      </c>
      <c r="I193" s="45">
        <f t="shared" si="20"/>
        <v>0</v>
      </c>
      <c r="J193" s="333" t="str">
        <f t="shared" si="21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>
        <f t="shared" si="28"/>
        <v>0</v>
      </c>
      <c r="I194" s="45">
        <f t="shared" si="20"/>
        <v>0</v>
      </c>
      <c r="J194" s="333" t="str">
        <f t="shared" si="21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>
        <f t="shared" si="28"/>
        <v>0</v>
      </c>
      <c r="I195" s="45">
        <f t="shared" si="20"/>
        <v>0</v>
      </c>
      <c r="J195" s="333" t="str">
        <f t="shared" si="21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&amp; Development</v>
      </c>
      <c r="B196" s="443"/>
      <c r="C196" s="506">
        <f t="shared" ref="C196:K196" si="30">SUM(C197:C206)</f>
        <v>22716466</v>
      </c>
      <c r="D196" s="447">
        <f t="shared" si="30"/>
        <v>11240580.214849997</v>
      </c>
      <c r="E196" s="444">
        <f t="shared" si="30"/>
        <v>32807833.519999996</v>
      </c>
      <c r="F196" s="446">
        <f t="shared" si="30"/>
        <v>2662365.9400000004</v>
      </c>
      <c r="G196" s="446">
        <f t="shared" si="30"/>
        <v>22881595.870000001</v>
      </c>
      <c r="H196" s="446">
        <f t="shared" si="30"/>
        <v>7493720.1432333319</v>
      </c>
      <c r="I196" s="45">
        <f t="shared" si="20"/>
        <v>15387875.726766668</v>
      </c>
      <c r="J196" s="333">
        <f t="shared" si="21"/>
        <v>2.0534361348764256</v>
      </c>
      <c r="K196" s="445">
        <f t="shared" si="30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3,1 - Local Economic Development</v>
      </c>
      <c r="B197" s="448"/>
      <c r="C197" s="758">
        <v>22716466</v>
      </c>
      <c r="D197" s="759">
        <v>11240580.214849997</v>
      </c>
      <c r="E197" s="747">
        <v>31066371.999999996</v>
      </c>
      <c r="F197" s="760">
        <v>746249.55</v>
      </c>
      <c r="G197" s="747">
        <f>18802613.55+F197</f>
        <v>19548863.100000001</v>
      </c>
      <c r="H197" s="756">
        <f>D197/12*8</f>
        <v>7493720.1432333319</v>
      </c>
      <c r="I197" s="45">
        <f t="shared" si="20"/>
        <v>12055142.956766669</v>
      </c>
      <c r="J197" s="333">
        <f t="shared" si="21"/>
        <v>1.6086993811281041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Intergrated Development Plan</v>
      </c>
      <c r="B198" s="448"/>
      <c r="C198" s="758"/>
      <c r="D198" s="759"/>
      <c r="E198" s="747"/>
      <c r="F198" s="747"/>
      <c r="G198" s="747">
        <v>1416616.3800000001</v>
      </c>
      <c r="H198" s="760">
        <f>D198/12*8</f>
        <v>0</v>
      </c>
      <c r="I198" s="45">
        <f t="shared" ref="I198:I261" si="31">G198-H198</f>
        <v>1416616.3800000001</v>
      </c>
      <c r="J198" s="333" t="e">
        <f t="shared" ref="J198:J261" si="32">IF(I198=0,"",I198/H198)</f>
        <v>#DIV/0!</v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structure'!E27</f>
        <v>3,3 - Land Use Management</v>
      </c>
      <c r="B199" s="448"/>
      <c r="C199" s="758"/>
      <c r="D199" s="759"/>
      <c r="E199" s="747"/>
      <c r="F199" s="760"/>
      <c r="G199" s="747"/>
      <c r="H199" s="760"/>
      <c r="I199" s="45">
        <f t="shared" si="31"/>
        <v>0</v>
      </c>
      <c r="J199" s="333" t="str">
        <f t="shared" si="32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structure'!E28</f>
        <v>3,4 - Spatial Planning</v>
      </c>
      <c r="B200" s="448"/>
      <c r="C200" s="758"/>
      <c r="D200" s="759"/>
      <c r="E200" s="747"/>
      <c r="F200" s="760"/>
      <c r="G200" s="747"/>
      <c r="H200" s="760"/>
      <c r="I200" s="45">
        <f t="shared" si="31"/>
        <v>0</v>
      </c>
      <c r="J200" s="333" t="str">
        <f t="shared" si="32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structure'!E29</f>
        <v>3,5 - Town Planning</v>
      </c>
      <c r="B201" s="448"/>
      <c r="C201" s="397"/>
      <c r="D201" s="386"/>
      <c r="E201" s="387">
        <v>1741461.52</v>
      </c>
      <c r="F201" s="475">
        <v>1916116.3900000001</v>
      </c>
      <c r="G201" s="387">
        <f>F201</f>
        <v>1916116.3900000001</v>
      </c>
      <c r="H201" s="475"/>
      <c r="I201" s="45">
        <f t="shared" si="31"/>
        <v>1916116.3900000001</v>
      </c>
      <c r="J201" s="333" t="e">
        <f t="shared" si="32"/>
        <v>#DIV/0!</v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structure'!E30</f>
        <v xml:space="preserve">3,6 - Housing </v>
      </c>
      <c r="B202" s="448"/>
      <c r="C202" s="397"/>
      <c r="D202" s="386"/>
      <c r="E202" s="387"/>
      <c r="F202" s="475"/>
      <c r="G202" s="387"/>
      <c r="H202" s="475"/>
      <c r="I202" s="45">
        <f t="shared" si="31"/>
        <v>0</v>
      </c>
      <c r="J202" s="333" t="str">
        <f t="shared" si="32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31"/>
        <v>0</v>
      </c>
      <c r="J203" s="333" t="str">
        <f t="shared" si="32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31"/>
        <v>0</v>
      </c>
      <c r="J204" s="333" t="str">
        <f t="shared" si="32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31"/>
        <v>0</v>
      </c>
      <c r="J205" s="333" t="str">
        <f t="shared" si="32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31"/>
        <v>0</v>
      </c>
      <c r="J206" s="333" t="str">
        <f t="shared" si="32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Technical Services</v>
      </c>
      <c r="B207" s="443"/>
      <c r="C207" s="506">
        <f t="shared" ref="C207:K207" si="33">SUM(C208:C217)</f>
        <v>41578873</v>
      </c>
      <c r="D207" s="447">
        <f t="shared" si="33"/>
        <v>98692761.061682031</v>
      </c>
      <c r="E207" s="444">
        <f t="shared" si="33"/>
        <v>80014530</v>
      </c>
      <c r="F207" s="446">
        <f t="shared" si="33"/>
        <v>5226457.9400000004</v>
      </c>
      <c r="G207" s="446">
        <f>SUM(G208:G217)</f>
        <v>62207806.872391559</v>
      </c>
      <c r="H207" s="446">
        <f>SUM(H208:H217)</f>
        <v>65795174.041121349</v>
      </c>
      <c r="I207" s="45">
        <f t="shared" si="31"/>
        <v>-3587367.1687297896</v>
      </c>
      <c r="J207" s="333">
        <f t="shared" si="32"/>
        <v>-5.4523256773934811E-2</v>
      </c>
      <c r="K207" s="445">
        <f t="shared" si="33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Electricity</v>
      </c>
      <c r="B208" s="448"/>
      <c r="C208" s="397">
        <v>35132052</v>
      </c>
      <c r="D208" s="386">
        <v>48889529.2445933</v>
      </c>
      <c r="E208" s="387">
        <v>51580241</v>
      </c>
      <c r="F208" s="475">
        <v>3209756.16</v>
      </c>
      <c r="G208" s="387">
        <v>35917650.489999995</v>
      </c>
      <c r="H208" s="756">
        <f t="shared" ref="H208:H214" si="34">D208/12*8</f>
        <v>32593019.496395532</v>
      </c>
      <c r="I208" s="45">
        <f t="shared" si="31"/>
        <v>3324630.9936044626</v>
      </c>
      <c r="J208" s="333">
        <f t="shared" si="32"/>
        <v>0.1020043875950841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Sewerage Reticulation</v>
      </c>
      <c r="B209" s="448"/>
      <c r="C209" s="397"/>
      <c r="D209" s="386">
        <v>12540437.093828721</v>
      </c>
      <c r="E209" s="387">
        <v>12271999</v>
      </c>
      <c r="F209" s="475">
        <v>826576.67000000016</v>
      </c>
      <c r="G209" s="387">
        <f>7455636.67+F209</f>
        <v>8282213.3399999999</v>
      </c>
      <c r="H209" s="756">
        <f t="shared" si="34"/>
        <v>8360291.395885814</v>
      </c>
      <c r="I209" s="45">
        <f t="shared" si="31"/>
        <v>-78078.05588581413</v>
      </c>
      <c r="J209" s="333">
        <f t="shared" si="32"/>
        <v>-9.3391548438415857E-3</v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structure'!E38</f>
        <v>4,3 - Public Works</v>
      </c>
      <c r="B210" s="448"/>
      <c r="C210" s="397"/>
      <c r="D210" s="386">
        <v>18040560.582060002</v>
      </c>
      <c r="E210" s="387">
        <v>0</v>
      </c>
      <c r="F210" s="475">
        <v>209692.11</v>
      </c>
      <c r="G210" s="387">
        <f>F210</f>
        <v>209692.11</v>
      </c>
      <c r="H210" s="756">
        <f t="shared" si="34"/>
        <v>12027040.388040001</v>
      </c>
      <c r="I210" s="45">
        <f t="shared" si="31"/>
        <v>-11817348.278040001</v>
      </c>
      <c r="J210" s="333">
        <f t="shared" si="32"/>
        <v>-0.98256494505426928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structure'!E39</f>
        <v>4,4 - Project Management Unit</v>
      </c>
      <c r="B211" s="448"/>
      <c r="C211" s="397"/>
      <c r="D211" s="386">
        <v>1706034.5180500001</v>
      </c>
      <c r="E211" s="387">
        <v>1706034.5180500001</v>
      </c>
      <c r="F211" s="475"/>
      <c r="G211" s="387">
        <f>294927.76</f>
        <v>294927.76</v>
      </c>
      <c r="H211" s="756">
        <f t="shared" si="34"/>
        <v>1137356.3453666668</v>
      </c>
      <c r="I211" s="45">
        <f t="shared" si="31"/>
        <v>-842428.58536666678</v>
      </c>
      <c r="J211" s="333">
        <f t="shared" si="32"/>
        <v>-0.740690100159489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structure'!E40</f>
        <v>4,5 - Municipal Buildings</v>
      </c>
      <c r="B212" s="448"/>
      <c r="C212" s="397"/>
      <c r="D212" s="386">
        <v>3214890.2070000004</v>
      </c>
      <c r="E212" s="387">
        <v>3214890.2070000004</v>
      </c>
      <c r="F212" s="475"/>
      <c r="G212" s="387"/>
      <c r="H212" s="756">
        <f t="shared" si="34"/>
        <v>2143260.1380000003</v>
      </c>
      <c r="I212" s="45">
        <f t="shared" si="31"/>
        <v>-2143260.1380000003</v>
      </c>
      <c r="J212" s="333">
        <f t="shared" si="32"/>
        <v>-1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structure'!E41</f>
        <v>4,6 - Mechanical Workshop</v>
      </c>
      <c r="B213" s="448"/>
      <c r="C213" s="397">
        <v>6296255</v>
      </c>
      <c r="D213" s="386">
        <v>6359420.4327499997</v>
      </c>
      <c r="E213" s="387">
        <v>2376283.2749499991</v>
      </c>
      <c r="F213" s="475"/>
      <c r="G213" s="387">
        <v>11174591.272391569</v>
      </c>
      <c r="H213" s="756">
        <f t="shared" si="34"/>
        <v>4239613.6218333328</v>
      </c>
      <c r="I213" s="45">
        <f t="shared" si="31"/>
        <v>6934977.6505582361</v>
      </c>
      <c r="J213" s="333">
        <f t="shared" si="32"/>
        <v>1.6357569979594859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structure'!E42</f>
        <v>4,7 - Water</v>
      </c>
      <c r="B214" s="448"/>
      <c r="C214" s="397">
        <v>150566</v>
      </c>
      <c r="D214" s="386">
        <v>7941888.9834000003</v>
      </c>
      <c r="E214" s="387">
        <v>8865082</v>
      </c>
      <c r="F214" s="475">
        <v>980433</v>
      </c>
      <c r="G214" s="387">
        <f>5348298.9+F214</f>
        <v>6328731.9000000004</v>
      </c>
      <c r="H214" s="756">
        <f t="shared" si="34"/>
        <v>5294592.6556000002</v>
      </c>
      <c r="I214" s="45">
        <f t="shared" si="31"/>
        <v>1034139.2444000002</v>
      </c>
      <c r="J214" s="333">
        <f t="shared" si="32"/>
        <v>0.19531988798160116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>
        <f t="shared" ref="H215:H228" si="35">D215/2</f>
        <v>0</v>
      </c>
      <c r="I215" s="45">
        <f t="shared" si="31"/>
        <v>0</v>
      </c>
      <c r="J215" s="333" t="str">
        <f t="shared" si="32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>
        <f t="shared" si="35"/>
        <v>0</v>
      </c>
      <c r="I216" s="45">
        <f t="shared" si="31"/>
        <v>0</v>
      </c>
      <c r="J216" s="333" t="str">
        <f t="shared" si="32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>
        <f t="shared" si="35"/>
        <v>0</v>
      </c>
      <c r="I217" s="45">
        <f t="shared" si="31"/>
        <v>0</v>
      </c>
      <c r="J217" s="333" t="str">
        <f t="shared" si="32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Community &amp; Social Services</v>
      </c>
      <c r="B218" s="443"/>
      <c r="C218" s="506">
        <f t="shared" ref="C218:K218" si="36">SUM(C219:C228)</f>
        <v>3970204</v>
      </c>
      <c r="D218" s="447">
        <f t="shared" si="36"/>
        <v>28736239.861502983</v>
      </c>
      <c r="E218" s="444">
        <f t="shared" si="36"/>
        <v>41131190.256549999</v>
      </c>
      <c r="F218" s="446">
        <f t="shared" si="36"/>
        <v>2891378.5500000003</v>
      </c>
      <c r="G218" s="446">
        <f t="shared" si="36"/>
        <v>14544288.779999996</v>
      </c>
      <c r="H218" s="446">
        <f t="shared" si="36"/>
        <v>19157493.241001986</v>
      </c>
      <c r="I218" s="45">
        <f t="shared" si="31"/>
        <v>-4613204.4610019904</v>
      </c>
      <c r="J218" s="333">
        <f t="shared" si="32"/>
        <v>-0.24080418053488026</v>
      </c>
      <c r="K218" s="445">
        <f t="shared" si="36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Refuse</v>
      </c>
      <c r="B219" s="448"/>
      <c r="C219" s="397">
        <v>97249</v>
      </c>
      <c r="D219" s="386">
        <v>6218337.2732829805</v>
      </c>
      <c r="E219" s="387">
        <v>6830831</v>
      </c>
      <c r="F219" s="475">
        <v>377280.51</v>
      </c>
      <c r="G219" s="387">
        <f>2776374.51+F219</f>
        <v>3153655.0199999996</v>
      </c>
      <c r="H219" s="756">
        <f t="shared" ref="H219:H225" si="37">D219/12*8</f>
        <v>4145558.1821886539</v>
      </c>
      <c r="I219" s="45">
        <f t="shared" si="31"/>
        <v>-991903.1621886543</v>
      </c>
      <c r="J219" s="333">
        <f t="shared" si="32"/>
        <v>-0.23926890387170432</v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 t="str">
        <f>'Org structure'!E48</f>
        <v>5,2 - Parks and Sports</v>
      </c>
      <c r="B220" s="448"/>
      <c r="C220" s="397">
        <v>3872955</v>
      </c>
      <c r="D220" s="386">
        <v>3682414.2280699997</v>
      </c>
      <c r="E220" s="387">
        <v>3388187</v>
      </c>
      <c r="F220" s="475">
        <v>373194.42</v>
      </c>
      <c r="G220" s="387">
        <f>2587974.28+F220</f>
        <v>2961168.6999999997</v>
      </c>
      <c r="H220" s="756">
        <f t="shared" si="37"/>
        <v>2454942.818713333</v>
      </c>
      <c r="I220" s="45">
        <f t="shared" si="31"/>
        <v>506225.88128666673</v>
      </c>
      <c r="J220" s="333">
        <f t="shared" si="32"/>
        <v>0.20620679122456556</v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structure'!E49</f>
        <v>5,3 - Streets</v>
      </c>
      <c r="B221" s="448"/>
      <c r="C221" s="397"/>
      <c r="D221" s="386">
        <v>1247050.45655</v>
      </c>
      <c r="E221" s="387">
        <v>1247050.45655</v>
      </c>
      <c r="F221" s="475">
        <v>241252.28</v>
      </c>
      <c r="G221" s="387">
        <f>2429579.74+F221</f>
        <v>2670832.02</v>
      </c>
      <c r="H221" s="756">
        <f t="shared" si="37"/>
        <v>831366.97103333334</v>
      </c>
      <c r="I221" s="45">
        <f t="shared" si="31"/>
        <v>1839465.0489666667</v>
      </c>
      <c r="J221" s="333">
        <f t="shared" si="32"/>
        <v>2.2125789369288209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structure'!E50</f>
        <v>5,4 - Traffic</v>
      </c>
      <c r="B222" s="448"/>
      <c r="C222" s="397"/>
      <c r="D222" s="386">
        <v>11021607.432949999</v>
      </c>
      <c r="E222" s="387">
        <v>7860000</v>
      </c>
      <c r="F222" s="475">
        <v>1043364.74</v>
      </c>
      <c r="G222" s="387">
        <f>3436119.03+F222</f>
        <v>4479483.7699999996</v>
      </c>
      <c r="H222" s="756">
        <f t="shared" si="37"/>
        <v>7347738.2886333326</v>
      </c>
      <c r="I222" s="45">
        <f t="shared" si="31"/>
        <v>-2868254.518633333</v>
      </c>
      <c r="J222" s="333">
        <f t="shared" si="32"/>
        <v>-0.39035882961025054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structure'!E51</f>
        <v>5,5 - Cemeteries</v>
      </c>
      <c r="B223" s="448"/>
      <c r="C223" s="397"/>
      <c r="D223" s="386">
        <v>393465.33754999982</v>
      </c>
      <c r="E223" s="387">
        <v>19868587.800000001</v>
      </c>
      <c r="F223" s="475">
        <v>263417</v>
      </c>
      <c r="G223" s="387">
        <f>55587.79+F223</f>
        <v>319004.78999999998</v>
      </c>
      <c r="H223" s="756">
        <f t="shared" si="37"/>
        <v>262310.22503333323</v>
      </c>
      <c r="I223" s="45">
        <f t="shared" si="31"/>
        <v>56694.564966666745</v>
      </c>
      <c r="J223" s="333">
        <f t="shared" si="32"/>
        <v>0.21613555079472122</v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structure'!E52</f>
        <v>5,6 - Libraries</v>
      </c>
      <c r="B224" s="448"/>
      <c r="C224" s="397"/>
      <c r="D224" s="386">
        <v>667774.30970000033</v>
      </c>
      <c r="E224" s="387">
        <v>697472</v>
      </c>
      <c r="F224" s="475">
        <v>61287.6</v>
      </c>
      <c r="G224" s="387">
        <f>124972.6+F224</f>
        <v>186260.2</v>
      </c>
      <c r="H224" s="756">
        <f t="shared" si="37"/>
        <v>445182.87313333357</v>
      </c>
      <c r="I224" s="45">
        <f t="shared" si="31"/>
        <v>-258922.67313333356</v>
      </c>
      <c r="J224" s="333">
        <f t="shared" si="32"/>
        <v>-0.58160969066702051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structure'!E53</f>
        <v>5,7 - Security Services</v>
      </c>
      <c r="B225" s="448"/>
      <c r="C225" s="397"/>
      <c r="D225" s="386">
        <v>5505590.8234000001</v>
      </c>
      <c r="E225" s="387">
        <v>1239062</v>
      </c>
      <c r="F225" s="475">
        <v>531582</v>
      </c>
      <c r="G225" s="387">
        <f>242302.28+F225</f>
        <v>773884.28</v>
      </c>
      <c r="H225" s="756">
        <f t="shared" si="37"/>
        <v>3670393.8822666667</v>
      </c>
      <c r="I225" s="45">
        <f t="shared" si="31"/>
        <v>-2896509.6022666665</v>
      </c>
      <c r="J225" s="333">
        <f t="shared" si="32"/>
        <v>-0.78915497768809351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>
        <f t="shared" si="35"/>
        <v>0</v>
      </c>
      <c r="I226" s="45">
        <f t="shared" si="31"/>
        <v>0</v>
      </c>
      <c r="J226" s="333" t="str">
        <f t="shared" si="32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>
        <f t="shared" si="35"/>
        <v>0</v>
      </c>
      <c r="I227" s="45">
        <f t="shared" si="31"/>
        <v>0</v>
      </c>
      <c r="J227" s="333" t="str">
        <f t="shared" si="32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>
        <f t="shared" si="35"/>
        <v>0</v>
      </c>
      <c r="I228" s="45">
        <f t="shared" si="31"/>
        <v>0</v>
      </c>
      <c r="J228" s="333" t="str">
        <f t="shared" si="32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[NAME OF VOTE 6]</v>
      </c>
      <c r="B229" s="443"/>
      <c r="C229" s="506">
        <f t="shared" ref="C229:K229" si="38">SUM(C230:C239)</f>
        <v>0</v>
      </c>
      <c r="D229" s="447">
        <f t="shared" si="38"/>
        <v>0</v>
      </c>
      <c r="E229" s="444">
        <f t="shared" si="38"/>
        <v>0</v>
      </c>
      <c r="F229" s="446">
        <f t="shared" si="38"/>
        <v>0</v>
      </c>
      <c r="G229" s="444">
        <f t="shared" si="38"/>
        <v>0</v>
      </c>
      <c r="H229" s="446">
        <f t="shared" si="38"/>
        <v>0</v>
      </c>
      <c r="I229" s="45">
        <f t="shared" si="31"/>
        <v>0</v>
      </c>
      <c r="J229" s="333" t="str">
        <f t="shared" si="32"/>
        <v/>
      </c>
      <c r="K229" s="445">
        <f t="shared" si="38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31"/>
        <v>0</v>
      </c>
      <c r="J230" s="333" t="str">
        <f t="shared" si="32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31"/>
        <v>0</v>
      </c>
      <c r="J231" s="333" t="str">
        <f t="shared" si="32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31"/>
        <v>0</v>
      </c>
      <c r="J232" s="333" t="str">
        <f t="shared" si="32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31"/>
        <v>0</v>
      </c>
      <c r="J233" s="333" t="str">
        <f t="shared" si="32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31"/>
        <v>0</v>
      </c>
      <c r="J234" s="333" t="str">
        <f t="shared" si="32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31"/>
        <v>0</v>
      </c>
      <c r="J235" s="333" t="str">
        <f t="shared" si="32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31"/>
        <v>0</v>
      </c>
      <c r="J236" s="333" t="str">
        <f t="shared" si="32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31"/>
        <v>0</v>
      </c>
      <c r="J237" s="333" t="str">
        <f t="shared" si="32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31"/>
        <v>0</v>
      </c>
      <c r="J238" s="333" t="str">
        <f t="shared" si="32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31"/>
        <v>0</v>
      </c>
      <c r="J239" s="333" t="str">
        <f t="shared" si="32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[NAME OF VOTE 7]</v>
      </c>
      <c r="B240" s="443"/>
      <c r="C240" s="506">
        <f t="shared" ref="C240:K240" si="39">SUM(C241:C250)</f>
        <v>0</v>
      </c>
      <c r="D240" s="447">
        <f t="shared" si="39"/>
        <v>0</v>
      </c>
      <c r="E240" s="444">
        <f t="shared" si="39"/>
        <v>0</v>
      </c>
      <c r="F240" s="446">
        <f t="shared" si="39"/>
        <v>0</v>
      </c>
      <c r="G240" s="444">
        <f t="shared" si="39"/>
        <v>0</v>
      </c>
      <c r="H240" s="446">
        <f t="shared" si="39"/>
        <v>0</v>
      </c>
      <c r="I240" s="45">
        <f t="shared" si="31"/>
        <v>0</v>
      </c>
      <c r="J240" s="333" t="str">
        <f t="shared" si="32"/>
        <v/>
      </c>
      <c r="K240" s="445">
        <f t="shared" si="39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31"/>
        <v>0</v>
      </c>
      <c r="J241" s="333" t="str">
        <f t="shared" si="32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31"/>
        <v>0</v>
      </c>
      <c r="J242" s="333" t="str">
        <f t="shared" si="32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31"/>
        <v>0</v>
      </c>
      <c r="J243" s="333" t="str">
        <f t="shared" si="32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31"/>
        <v>0</v>
      </c>
      <c r="J244" s="333" t="str">
        <f t="shared" si="32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31"/>
        <v>0</v>
      </c>
      <c r="J245" s="333" t="str">
        <f t="shared" si="32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31"/>
        <v>0</v>
      </c>
      <c r="J246" s="333" t="str">
        <f t="shared" si="32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31"/>
        <v>0</v>
      </c>
      <c r="J247" s="333" t="str">
        <f t="shared" si="32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31"/>
        <v>0</v>
      </c>
      <c r="J248" s="333" t="str">
        <f t="shared" si="32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31"/>
        <v>0</v>
      </c>
      <c r="J249" s="333" t="str">
        <f t="shared" si="32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31"/>
        <v>0</v>
      </c>
      <c r="J250" s="333" t="str">
        <f t="shared" si="32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[NAME OF VOTE 8]</v>
      </c>
      <c r="B251" s="448"/>
      <c r="C251" s="506">
        <f t="shared" ref="C251:K251" si="40">SUM(C252:C261)</f>
        <v>0</v>
      </c>
      <c r="D251" s="447">
        <f t="shared" si="40"/>
        <v>0</v>
      </c>
      <c r="E251" s="444">
        <f t="shared" si="40"/>
        <v>0</v>
      </c>
      <c r="F251" s="446">
        <f t="shared" si="40"/>
        <v>0</v>
      </c>
      <c r="G251" s="444">
        <f t="shared" si="40"/>
        <v>0</v>
      </c>
      <c r="H251" s="446">
        <f t="shared" si="40"/>
        <v>0</v>
      </c>
      <c r="I251" s="45">
        <f t="shared" si="31"/>
        <v>0</v>
      </c>
      <c r="J251" s="333" t="str">
        <f t="shared" si="32"/>
        <v/>
      </c>
      <c r="K251" s="445">
        <f t="shared" si="40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31"/>
        <v>0</v>
      </c>
      <c r="J252" s="333" t="str">
        <f t="shared" si="32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31"/>
        <v>0</v>
      </c>
      <c r="J253" s="333" t="str">
        <f t="shared" si="32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31"/>
        <v>0</v>
      </c>
      <c r="J254" s="333" t="str">
        <f t="shared" si="32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31"/>
        <v>0</v>
      </c>
      <c r="J255" s="333" t="str">
        <f t="shared" si="32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31"/>
        <v>0</v>
      </c>
      <c r="J256" s="333" t="str">
        <f t="shared" si="32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31"/>
        <v>0</v>
      </c>
      <c r="J257" s="333" t="str">
        <f t="shared" si="32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31"/>
        <v>0</v>
      </c>
      <c r="J258" s="333" t="str">
        <f t="shared" si="32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31"/>
        <v>0</v>
      </c>
      <c r="J259" s="333" t="str">
        <f t="shared" si="32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31"/>
        <v>0</v>
      </c>
      <c r="J260" s="333" t="str">
        <f t="shared" si="32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31"/>
        <v>0</v>
      </c>
      <c r="J261" s="333" t="str">
        <f t="shared" si="32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[NAME OF VOTE 9]</v>
      </c>
      <c r="B262" s="448"/>
      <c r="C262" s="506">
        <f t="shared" ref="C262:K262" si="41">SUM(C263:C272)</f>
        <v>0</v>
      </c>
      <c r="D262" s="447">
        <f t="shared" si="41"/>
        <v>0</v>
      </c>
      <c r="E262" s="444">
        <f t="shared" si="41"/>
        <v>0</v>
      </c>
      <c r="F262" s="446">
        <f t="shared" si="41"/>
        <v>0</v>
      </c>
      <c r="G262" s="444">
        <f t="shared" si="41"/>
        <v>0</v>
      </c>
      <c r="H262" s="446">
        <f t="shared" si="41"/>
        <v>0</v>
      </c>
      <c r="I262" s="45">
        <f t="shared" ref="I262:I325" si="42">G262-H262</f>
        <v>0</v>
      </c>
      <c r="J262" s="333" t="str">
        <f t="shared" ref="J262:J325" si="43">IF(I262=0,"",I262/H262)</f>
        <v/>
      </c>
      <c r="K262" s="445">
        <f t="shared" si="41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42"/>
        <v>0</v>
      </c>
      <c r="J263" s="333" t="str">
        <f t="shared" si="43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42"/>
        <v>0</v>
      </c>
      <c r="J264" s="333" t="str">
        <f t="shared" si="43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42"/>
        <v>0</v>
      </c>
      <c r="J265" s="333" t="str">
        <f t="shared" si="43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2"/>
        <v>0</v>
      </c>
      <c r="J266" s="333" t="str">
        <f t="shared" si="43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2"/>
        <v>0</v>
      </c>
      <c r="J267" s="333" t="str">
        <f t="shared" si="43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2"/>
        <v>0</v>
      </c>
      <c r="J268" s="333" t="str">
        <f t="shared" si="43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2"/>
        <v>0</v>
      </c>
      <c r="J269" s="333" t="str">
        <f t="shared" si="43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2"/>
        <v>0</v>
      </c>
      <c r="J270" s="333" t="str">
        <f t="shared" si="43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2"/>
        <v>0</v>
      </c>
      <c r="J271" s="333" t="str">
        <f t="shared" si="43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2"/>
        <v>0</v>
      </c>
      <c r="J272" s="333" t="str">
        <f t="shared" si="43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[NAME OF VOTE 10]</v>
      </c>
      <c r="B273" s="448"/>
      <c r="C273" s="506">
        <f t="shared" ref="C273:K273" si="44">SUM(C274:C283)</f>
        <v>0</v>
      </c>
      <c r="D273" s="447">
        <f t="shared" si="44"/>
        <v>0</v>
      </c>
      <c r="E273" s="444">
        <f t="shared" si="44"/>
        <v>0</v>
      </c>
      <c r="F273" s="446">
        <f t="shared" si="44"/>
        <v>0</v>
      </c>
      <c r="G273" s="444">
        <f t="shared" si="44"/>
        <v>0</v>
      </c>
      <c r="H273" s="446">
        <f t="shared" si="44"/>
        <v>0</v>
      </c>
      <c r="I273" s="45">
        <f t="shared" si="42"/>
        <v>0</v>
      </c>
      <c r="J273" s="333" t="str">
        <f t="shared" si="43"/>
        <v/>
      </c>
      <c r="K273" s="445">
        <f t="shared" si="44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42"/>
        <v>0</v>
      </c>
      <c r="J274" s="333" t="str">
        <f t="shared" si="43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42"/>
        <v>0</v>
      </c>
      <c r="J275" s="333" t="str">
        <f t="shared" si="43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42"/>
        <v>0</v>
      </c>
      <c r="J276" s="333" t="str">
        <f t="shared" si="43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2"/>
        <v>0</v>
      </c>
      <c r="J277" s="333" t="str">
        <f t="shared" si="43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2"/>
        <v>0</v>
      </c>
      <c r="J278" s="333" t="str">
        <f t="shared" si="43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2"/>
        <v>0</v>
      </c>
      <c r="J279" s="333" t="str">
        <f t="shared" si="43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2"/>
        <v>0</v>
      </c>
      <c r="J280" s="333" t="str">
        <f t="shared" si="43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2"/>
        <v>0</v>
      </c>
      <c r="J281" s="333" t="str">
        <f t="shared" si="43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2"/>
        <v>0</v>
      </c>
      <c r="J282" s="333" t="str">
        <f t="shared" si="43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2"/>
        <v>0</v>
      </c>
      <c r="J283" s="333" t="str">
        <f t="shared" si="43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45">SUM(C285:C294)</f>
        <v>0</v>
      </c>
      <c r="D284" s="447">
        <f t="shared" si="45"/>
        <v>0</v>
      </c>
      <c r="E284" s="444">
        <f t="shared" si="45"/>
        <v>0</v>
      </c>
      <c r="F284" s="446">
        <f t="shared" si="45"/>
        <v>0</v>
      </c>
      <c r="G284" s="444">
        <f t="shared" si="45"/>
        <v>0</v>
      </c>
      <c r="H284" s="446">
        <f t="shared" si="45"/>
        <v>0</v>
      </c>
      <c r="I284" s="45">
        <f t="shared" si="42"/>
        <v>0</v>
      </c>
      <c r="J284" s="333" t="str">
        <f t="shared" si="43"/>
        <v/>
      </c>
      <c r="K284" s="445">
        <f t="shared" si="45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42"/>
        <v>0</v>
      </c>
      <c r="J285" s="333" t="str">
        <f t="shared" si="43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42"/>
        <v>0</v>
      </c>
      <c r="J286" s="333" t="str">
        <f t="shared" si="43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42"/>
        <v>0</v>
      </c>
      <c r="J287" s="333" t="str">
        <f t="shared" si="43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2"/>
        <v>0</v>
      </c>
      <c r="J288" s="333" t="str">
        <f t="shared" si="43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2"/>
        <v>0</v>
      </c>
      <c r="J289" s="333" t="str">
        <f t="shared" si="43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2"/>
        <v>0</v>
      </c>
      <c r="J290" s="333" t="str">
        <f t="shared" si="43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2"/>
        <v>0</v>
      </c>
      <c r="J291" s="333" t="str">
        <f t="shared" si="43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2"/>
        <v>0</v>
      </c>
      <c r="J292" s="333" t="str">
        <f t="shared" si="43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2"/>
        <v>0</v>
      </c>
      <c r="J293" s="333" t="str">
        <f t="shared" si="43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2"/>
        <v>0</v>
      </c>
      <c r="J294" s="333" t="str">
        <f t="shared" si="43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46">SUM(C296:C305)</f>
        <v>0</v>
      </c>
      <c r="D295" s="447">
        <f t="shared" si="46"/>
        <v>0</v>
      </c>
      <c r="E295" s="444">
        <f t="shared" si="46"/>
        <v>0</v>
      </c>
      <c r="F295" s="446">
        <f t="shared" si="46"/>
        <v>0</v>
      </c>
      <c r="G295" s="444">
        <f t="shared" si="46"/>
        <v>0</v>
      </c>
      <c r="H295" s="446">
        <f t="shared" si="46"/>
        <v>0</v>
      </c>
      <c r="I295" s="45">
        <f t="shared" si="42"/>
        <v>0</v>
      </c>
      <c r="J295" s="333" t="str">
        <f t="shared" si="43"/>
        <v/>
      </c>
      <c r="K295" s="445">
        <f t="shared" si="46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42"/>
        <v>0</v>
      </c>
      <c r="J296" s="333" t="str">
        <f t="shared" si="43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42"/>
        <v>0</v>
      </c>
      <c r="J297" s="333" t="str">
        <f t="shared" si="43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42"/>
        <v>0</v>
      </c>
      <c r="J298" s="333" t="str">
        <f t="shared" si="43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2"/>
        <v>0</v>
      </c>
      <c r="J299" s="333" t="str">
        <f t="shared" si="43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2"/>
        <v>0</v>
      </c>
      <c r="J300" s="333" t="str">
        <f t="shared" si="43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2"/>
        <v>0</v>
      </c>
      <c r="J301" s="333" t="str">
        <f t="shared" si="43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2"/>
        <v>0</v>
      </c>
      <c r="J302" s="333" t="str">
        <f t="shared" si="43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2"/>
        <v>0</v>
      </c>
      <c r="J303" s="333" t="str">
        <f t="shared" si="43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2"/>
        <v>0</v>
      </c>
      <c r="J304" s="333" t="str">
        <f t="shared" si="43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2"/>
        <v>0</v>
      </c>
      <c r="J305" s="333" t="str">
        <f t="shared" si="43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47">SUM(C307:C316)</f>
        <v>0</v>
      </c>
      <c r="D306" s="447">
        <f t="shared" si="47"/>
        <v>0</v>
      </c>
      <c r="E306" s="444">
        <f t="shared" si="47"/>
        <v>0</v>
      </c>
      <c r="F306" s="446">
        <f t="shared" si="47"/>
        <v>0</v>
      </c>
      <c r="G306" s="444">
        <f t="shared" si="47"/>
        <v>0</v>
      </c>
      <c r="H306" s="446">
        <f t="shared" si="47"/>
        <v>0</v>
      </c>
      <c r="I306" s="45">
        <f t="shared" si="42"/>
        <v>0</v>
      </c>
      <c r="J306" s="333" t="str">
        <f t="shared" si="43"/>
        <v/>
      </c>
      <c r="K306" s="445">
        <f t="shared" si="47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42"/>
        <v>0</v>
      </c>
      <c r="J307" s="333" t="str">
        <f t="shared" si="43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42"/>
        <v>0</v>
      </c>
      <c r="J308" s="333" t="str">
        <f t="shared" si="43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42"/>
        <v>0</v>
      </c>
      <c r="J309" s="333" t="str">
        <f t="shared" si="43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2"/>
        <v>0</v>
      </c>
      <c r="J310" s="333" t="str">
        <f t="shared" si="43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2"/>
        <v>0</v>
      </c>
      <c r="J311" s="333" t="str">
        <f t="shared" si="43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2"/>
        <v>0</v>
      </c>
      <c r="J312" s="333" t="str">
        <f t="shared" si="43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2"/>
        <v>0</v>
      </c>
      <c r="J313" s="333" t="str">
        <f t="shared" si="43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2"/>
        <v>0</v>
      </c>
      <c r="J314" s="333" t="str">
        <f t="shared" si="43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2"/>
        <v>0</v>
      </c>
      <c r="J315" s="333" t="str">
        <f t="shared" si="43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2"/>
        <v>0</v>
      </c>
      <c r="J316" s="333" t="str">
        <f t="shared" si="43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8">SUM(C318:C327)</f>
        <v>0</v>
      </c>
      <c r="D317" s="447">
        <f t="shared" si="48"/>
        <v>0</v>
      </c>
      <c r="E317" s="444">
        <f t="shared" si="48"/>
        <v>0</v>
      </c>
      <c r="F317" s="446">
        <f t="shared" si="48"/>
        <v>0</v>
      </c>
      <c r="G317" s="444">
        <f t="shared" si="48"/>
        <v>0</v>
      </c>
      <c r="H317" s="446">
        <f t="shared" si="48"/>
        <v>0</v>
      </c>
      <c r="I317" s="45">
        <f t="shared" si="42"/>
        <v>0</v>
      </c>
      <c r="J317" s="333" t="str">
        <f t="shared" si="43"/>
        <v/>
      </c>
      <c r="K317" s="445">
        <f t="shared" si="48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42"/>
        <v>0</v>
      </c>
      <c r="J318" s="333" t="str">
        <f t="shared" si="43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42"/>
        <v>0</v>
      </c>
      <c r="J319" s="333" t="str">
        <f t="shared" si="43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42"/>
        <v>0</v>
      </c>
      <c r="J320" s="333" t="str">
        <f t="shared" si="43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2"/>
        <v>0</v>
      </c>
      <c r="J321" s="333" t="str">
        <f t="shared" si="43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2"/>
        <v>0</v>
      </c>
      <c r="J322" s="333" t="str">
        <f t="shared" si="43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2"/>
        <v>0</v>
      </c>
      <c r="J323" s="333" t="str">
        <f t="shared" si="43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2"/>
        <v>0</v>
      </c>
      <c r="J324" s="333" t="str">
        <f t="shared" si="43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2"/>
        <v>0</v>
      </c>
      <c r="J325" s="333" t="str">
        <f t="shared" si="43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9">G326-H326</f>
        <v>0</v>
      </c>
      <c r="J326" s="333" t="str">
        <f t="shared" ref="J326:J341" si="50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9"/>
        <v>0</v>
      </c>
      <c r="J327" s="333" t="str">
        <f t="shared" si="50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51">SUM(C329:C338)</f>
        <v>0</v>
      </c>
      <c r="D328" s="447">
        <f t="shared" si="51"/>
        <v>0</v>
      </c>
      <c r="E328" s="444">
        <f t="shared" si="51"/>
        <v>0</v>
      </c>
      <c r="F328" s="446">
        <f t="shared" si="51"/>
        <v>0</v>
      </c>
      <c r="G328" s="444">
        <f t="shared" si="51"/>
        <v>0</v>
      </c>
      <c r="H328" s="446">
        <f t="shared" si="51"/>
        <v>0</v>
      </c>
      <c r="I328" s="45">
        <f t="shared" si="49"/>
        <v>0</v>
      </c>
      <c r="J328" s="333" t="str">
        <f t="shared" si="50"/>
        <v/>
      </c>
      <c r="K328" s="445">
        <f t="shared" si="51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9"/>
        <v>0</v>
      </c>
      <c r="J329" s="333" t="str">
        <f t="shared" si="50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9"/>
        <v>0</v>
      </c>
      <c r="J330" s="333" t="str">
        <f t="shared" si="50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9"/>
        <v>0</v>
      </c>
      <c r="J331" s="333" t="str">
        <f t="shared" si="50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9"/>
        <v>0</v>
      </c>
      <c r="J332" s="333" t="str">
        <f t="shared" si="50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9"/>
        <v>0</v>
      </c>
      <c r="J333" s="333" t="str">
        <f t="shared" si="50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9"/>
        <v>0</v>
      </c>
      <c r="J334" s="333" t="str">
        <f t="shared" si="50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9"/>
        <v>0</v>
      </c>
      <c r="J335" s="333" t="str">
        <f t="shared" si="50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9"/>
        <v>0</v>
      </c>
      <c r="J336" s="333" t="str">
        <f t="shared" si="50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9"/>
        <v>0</v>
      </c>
      <c r="J337" s="333" t="str">
        <f t="shared" si="50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9"/>
        <v>0</v>
      </c>
      <c r="J338" s="333" t="str">
        <f t="shared" si="50"/>
        <v/>
      </c>
      <c r="K338" s="398"/>
      <c r="L338" s="455">
        <f t="shared" ref="L338:W338" si="52">SUM(L173:L249)</f>
        <v>0</v>
      </c>
      <c r="M338" s="456">
        <f t="shared" si="52"/>
        <v>0</v>
      </c>
      <c r="N338" s="456">
        <f t="shared" si="52"/>
        <v>0</v>
      </c>
      <c r="O338" s="456">
        <f t="shared" si="52"/>
        <v>0</v>
      </c>
      <c r="P338" s="456">
        <f t="shared" si="52"/>
        <v>0</v>
      </c>
      <c r="Q338" s="456">
        <f t="shared" si="52"/>
        <v>0</v>
      </c>
      <c r="R338" s="456">
        <f t="shared" si="52"/>
        <v>0</v>
      </c>
      <c r="S338" s="456">
        <f t="shared" si="52"/>
        <v>0</v>
      </c>
      <c r="T338" s="456">
        <f t="shared" si="52"/>
        <v>0</v>
      </c>
      <c r="U338" s="456">
        <f t="shared" si="52"/>
        <v>0</v>
      </c>
      <c r="V338" s="456">
        <f t="shared" si="52"/>
        <v>0</v>
      </c>
      <c r="W338" s="456">
        <f t="shared" si="52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40" si="53">C174+C185+C196+C207+C218+C229+C240+C251+C262++C273+C284+C295+C306+C317+C328</f>
        <v>284874946</v>
      </c>
      <c r="D339" s="478">
        <f t="shared" si="53"/>
        <v>256505812.39484403</v>
      </c>
      <c r="E339" s="433">
        <f t="shared" si="53"/>
        <v>283289747.63655001</v>
      </c>
      <c r="F339" s="477">
        <f t="shared" si="53"/>
        <v>16979240.980000004</v>
      </c>
      <c r="G339" s="477">
        <f t="shared" si="53"/>
        <v>167391366.69239157</v>
      </c>
      <c r="H339" s="477">
        <f t="shared" si="53"/>
        <v>171003874.92989603</v>
      </c>
      <c r="I339" s="433">
        <f t="shared" si="49"/>
        <v>-3612508.2375044525</v>
      </c>
      <c r="J339" s="433">
        <f t="shared" si="50"/>
        <v>-2.1125300458749371E-2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7"/>
      <c r="B340" s="448"/>
      <c r="C340" s="111"/>
      <c r="D340" s="52"/>
      <c r="E340" s="51"/>
      <c r="F340" s="477">
        <f t="shared" si="53"/>
        <v>7880307.9199999999</v>
      </c>
      <c r="G340" s="51"/>
      <c r="H340" s="50"/>
      <c r="I340" s="51">
        <f t="shared" si="49"/>
        <v>0</v>
      </c>
      <c r="J340" s="51" t="str">
        <f t="shared" si="50"/>
        <v/>
      </c>
      <c r="K340" s="195"/>
      <c r="L340" s="483">
        <f t="shared" ref="L340:W340" si="54">L170-L338</f>
        <v>0</v>
      </c>
      <c r="M340" s="484">
        <f t="shared" si="54"/>
        <v>0</v>
      </c>
      <c r="N340" s="484">
        <f t="shared" si="54"/>
        <v>0</v>
      </c>
      <c r="O340" s="484">
        <f t="shared" si="54"/>
        <v>0</v>
      </c>
      <c r="P340" s="484">
        <f t="shared" si="54"/>
        <v>0</v>
      </c>
      <c r="Q340" s="484">
        <f t="shared" si="54"/>
        <v>0</v>
      </c>
      <c r="R340" s="484">
        <f t="shared" si="54"/>
        <v>0</v>
      </c>
      <c r="S340" s="484">
        <f t="shared" si="54"/>
        <v>0</v>
      </c>
      <c r="T340" s="484">
        <f t="shared" si="54"/>
        <v>0</v>
      </c>
      <c r="U340" s="484">
        <f t="shared" si="54"/>
        <v>0</v>
      </c>
      <c r="V340" s="484">
        <f t="shared" si="54"/>
        <v>0</v>
      </c>
      <c r="W340" s="484">
        <f t="shared" si="54"/>
        <v>0</v>
      </c>
    </row>
    <row r="341" spans="1:24" s="489" customFormat="1" ht="11.25" customHeight="1" thickTop="1" x14ac:dyDescent="0.25">
      <c r="A341" s="908" t="str">
        <f>result</f>
        <v>Surplus/ (Deficit) for the year</v>
      </c>
      <c r="B341" s="480">
        <v>2</v>
      </c>
      <c r="C341" s="512">
        <f t="shared" ref="C341:H341" si="55">C171-C339</f>
        <v>-25284423</v>
      </c>
      <c r="D341" s="515">
        <f t="shared" si="55"/>
        <v>105703023.11796007</v>
      </c>
      <c r="E341" s="56">
        <f t="shared" si="55"/>
        <v>67694002.724909961</v>
      </c>
      <c r="F341" s="482">
        <f t="shared" si="55"/>
        <v>-9255834.9800000042</v>
      </c>
      <c r="G341" s="482">
        <f t="shared" si="55"/>
        <v>51248142.867608428</v>
      </c>
      <c r="H341" s="482">
        <f t="shared" si="55"/>
        <v>70468682.078640074</v>
      </c>
      <c r="I341" s="56">
        <f t="shared" si="49"/>
        <v>-19220539.211031646</v>
      </c>
      <c r="J341" s="56">
        <f t="shared" si="50"/>
        <v>-0.27275292575476773</v>
      </c>
      <c r="K341" s="236">
        <f>K171-K339</f>
        <v>0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5" type="noConversion"/>
  <pageMargins left="0.75" right="0.75" top="1" bottom="1" header="0.5" footer="0.5"/>
  <pageSetup scale="73" orientation="portrait" r:id="rId1"/>
  <headerFooter alignWithMargins="0"/>
  <rowBreaks count="4" manualBreakCount="4">
    <brk id="71" max="16383" man="1"/>
    <brk id="148" max="16383" man="1"/>
    <brk id="228" max="16383" man="1"/>
    <brk id="305" max="16383" man="1"/>
  </rowBreaks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Normal="100" zoomScaleSheetLayoutView="100" workbookViewId="0">
      <pane xSplit="2" ySplit="4" topLeftCell="C3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"&amp;S71B&amp; " - "&amp;date</f>
        <v>NW385 Ramotshere Moiloa - Table C4 Monthly Budget Statement - Financial Performance (revenue and expenditure)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94" t="str">
        <f>head27</f>
        <v>Ref</v>
      </c>
      <c r="C2" s="159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</row>
    <row r="3" spans="1:11" ht="25.5" x14ac:dyDescent="0.25">
      <c r="A3" s="986"/>
      <c r="B3" s="995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21843140</v>
      </c>
      <c r="D6" s="759">
        <v>36278085.024999961</v>
      </c>
      <c r="E6" s="747">
        <v>22296631</v>
      </c>
      <c r="F6" s="747">
        <v>1319514</v>
      </c>
      <c r="G6" s="747">
        <f>17723903+F6</f>
        <v>19043417</v>
      </c>
      <c r="H6" s="747">
        <v>24185390.01666664</v>
      </c>
      <c r="I6" s="45">
        <f t="shared" ref="I6:I23" si="0">G6-H6</f>
        <v>-5141973.0166666396</v>
      </c>
      <c r="J6" s="333">
        <f t="shared" ref="J6:J23" si="1">IF(I6=0,"",I6/H6)</f>
        <v>-0.21260657831538801</v>
      </c>
      <c r="K6" s="749"/>
    </row>
    <row r="7" spans="1:11" ht="11.25" customHeight="1" x14ac:dyDescent="0.25">
      <c r="A7" s="40" t="s">
        <v>1129</v>
      </c>
      <c r="B7" s="422"/>
      <c r="C7" s="762"/>
      <c r="D7" s="759"/>
      <c r="E7" s="747">
        <v>0</v>
      </c>
      <c r="F7" s="747">
        <v>0</v>
      </c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 x14ac:dyDescent="0.25">
      <c r="A8" s="40" t="s">
        <v>989</v>
      </c>
      <c r="B8" s="422"/>
      <c r="C8" s="762">
        <v>45243035</v>
      </c>
      <c r="D8" s="759">
        <v>48404833</v>
      </c>
      <c r="E8" s="747">
        <v>58449863</v>
      </c>
      <c r="F8" s="747">
        <v>3637646</v>
      </c>
      <c r="G8" s="747">
        <f>33283340+F8</f>
        <v>36920986</v>
      </c>
      <c r="H8" s="747">
        <v>32269888.666666668</v>
      </c>
      <c r="I8" s="45">
        <f t="shared" si="0"/>
        <v>4651097.3333333321</v>
      </c>
      <c r="J8" s="333">
        <f t="shared" si="1"/>
        <v>0.14413118623919222</v>
      </c>
      <c r="K8" s="749"/>
    </row>
    <row r="9" spans="1:11" ht="11.25" customHeight="1" x14ac:dyDescent="0.25">
      <c r="A9" s="87" t="s">
        <v>990</v>
      </c>
      <c r="B9" s="424"/>
      <c r="C9" s="762">
        <v>7694240</v>
      </c>
      <c r="D9" s="759">
        <v>11326862</v>
      </c>
      <c r="E9" s="747">
        <v>12479455</v>
      </c>
      <c r="F9" s="747">
        <v>646680</v>
      </c>
      <c r="G9" s="747">
        <f>5580874.86000001+F9</f>
        <v>6227554.8600000096</v>
      </c>
      <c r="H9" s="747">
        <v>7551241.333333333</v>
      </c>
      <c r="I9" s="45">
        <f t="shared" si="0"/>
        <v>-1323686.4733333234</v>
      </c>
      <c r="J9" s="333">
        <f t="shared" si="1"/>
        <v>-0.175293890752795</v>
      </c>
      <c r="K9" s="749"/>
    </row>
    <row r="10" spans="1:11" ht="11.25" customHeight="1" x14ac:dyDescent="0.25">
      <c r="A10" s="87" t="s">
        <v>991</v>
      </c>
      <c r="B10" s="424"/>
      <c r="C10" s="762">
        <v>1999528</v>
      </c>
      <c r="D10" s="759">
        <v>5108265</v>
      </c>
      <c r="E10" s="747">
        <v>5040214</v>
      </c>
      <c r="F10" s="747">
        <v>206004</v>
      </c>
      <c r="G10" s="747">
        <f>1641748.14+F10</f>
        <v>1847752.14</v>
      </c>
      <c r="H10" s="747">
        <v>2979821.25</v>
      </c>
      <c r="I10" s="45">
        <f t="shared" si="0"/>
        <v>-1132069.1100000001</v>
      </c>
      <c r="J10" s="333">
        <f t="shared" si="1"/>
        <v>-0.37991175141797517</v>
      </c>
      <c r="K10" s="749"/>
    </row>
    <row r="11" spans="1:11" ht="11.25" customHeight="1" x14ac:dyDescent="0.25">
      <c r="A11" s="520" t="s">
        <v>77</v>
      </c>
      <c r="B11" s="424"/>
      <c r="C11" s="762">
        <v>5853061</v>
      </c>
      <c r="D11" s="759">
        <v>8627615</v>
      </c>
      <c r="E11" s="747">
        <v>8821354</v>
      </c>
      <c r="F11" s="747">
        <v>648581</v>
      </c>
      <c r="G11" s="747">
        <f>5128961.3+F11</f>
        <v>5777542.2999999998</v>
      </c>
      <c r="H11" s="747">
        <v>5751743.333333333</v>
      </c>
      <c r="I11" s="45">
        <f t="shared" si="0"/>
        <v>25798.966666666791</v>
      </c>
      <c r="J11" s="333">
        <f t="shared" si="1"/>
        <v>4.4854168851994657E-3</v>
      </c>
      <c r="K11" s="749"/>
    </row>
    <row r="12" spans="1:11" ht="11.25" customHeight="1" x14ac:dyDescent="0.25">
      <c r="A12" s="87" t="s">
        <v>992</v>
      </c>
      <c r="B12" s="424"/>
      <c r="C12" s="762"/>
      <c r="D12" s="759"/>
      <c r="E12" s="747">
        <v>0</v>
      </c>
      <c r="F12" s="747">
        <v>0</v>
      </c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 x14ac:dyDescent="0.25">
      <c r="A13" s="87" t="s">
        <v>1131</v>
      </c>
      <c r="B13" s="424"/>
      <c r="C13" s="762">
        <v>129801</v>
      </c>
      <c r="D13" s="759">
        <v>177304.44332000005</v>
      </c>
      <c r="E13" s="747">
        <v>177304.44332000005</v>
      </c>
      <c r="F13" s="747">
        <v>1500</v>
      </c>
      <c r="G13" s="747">
        <f>81871.09+F13</f>
        <v>83371.09</v>
      </c>
      <c r="H13" s="747">
        <v>118202.96221333336</v>
      </c>
      <c r="I13" s="45">
        <f t="shared" si="0"/>
        <v>-34831.872213333365</v>
      </c>
      <c r="J13" s="333">
        <f t="shared" si="1"/>
        <v>-0.29467850518389388</v>
      </c>
      <c r="K13" s="749"/>
    </row>
    <row r="14" spans="1:11" ht="11.25" customHeight="1" x14ac:dyDescent="0.25">
      <c r="A14" s="87" t="s">
        <v>995</v>
      </c>
      <c r="B14" s="424"/>
      <c r="C14" s="762">
        <v>1432729</v>
      </c>
      <c r="D14" s="759">
        <v>131771</v>
      </c>
      <c r="E14" s="747">
        <v>131771</v>
      </c>
      <c r="F14" s="747">
        <v>2062</v>
      </c>
      <c r="G14" s="747">
        <f>93636.32+F14</f>
        <v>95698.32</v>
      </c>
      <c r="H14" s="747">
        <v>87847.333333333328</v>
      </c>
      <c r="I14" s="45">
        <f t="shared" si="0"/>
        <v>7850.9866666666785</v>
      </c>
      <c r="J14" s="333">
        <f t="shared" si="1"/>
        <v>8.9370802376850883E-2</v>
      </c>
      <c r="K14" s="749"/>
    </row>
    <row r="15" spans="1:11" ht="11.25" customHeight="1" x14ac:dyDescent="0.25">
      <c r="A15" s="87" t="s">
        <v>996</v>
      </c>
      <c r="B15" s="424"/>
      <c r="C15" s="762"/>
      <c r="D15" s="759">
        <v>4250000</v>
      </c>
      <c r="E15" s="747">
        <v>4250000</v>
      </c>
      <c r="F15" s="747">
        <v>7600</v>
      </c>
      <c r="G15" s="747">
        <f>60024.32+F15</f>
        <v>67624.320000000007</v>
      </c>
      <c r="H15" s="747">
        <v>2833333.3333333335</v>
      </c>
      <c r="I15" s="45">
        <f t="shared" si="0"/>
        <v>-2765709.0133333337</v>
      </c>
      <c r="J15" s="333">
        <f t="shared" si="1"/>
        <v>-0.97613259294117649</v>
      </c>
      <c r="K15" s="749"/>
    </row>
    <row r="16" spans="1:11" ht="11.25" customHeight="1" x14ac:dyDescent="0.25">
      <c r="A16" s="87" t="s">
        <v>1088</v>
      </c>
      <c r="B16" s="424"/>
      <c r="C16" s="762"/>
      <c r="D16" s="759"/>
      <c r="E16" s="747">
        <v>0</v>
      </c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1.25" customHeight="1" x14ac:dyDescent="0.25">
      <c r="A17" s="87" t="s">
        <v>997</v>
      </c>
      <c r="B17" s="424"/>
      <c r="C17" s="762">
        <v>5713111</v>
      </c>
      <c r="D17" s="759">
        <v>8546422</v>
      </c>
      <c r="E17" s="747">
        <v>8546422</v>
      </c>
      <c r="F17" s="747">
        <v>23828</v>
      </c>
      <c r="G17" s="747">
        <f>1695840.48+F17</f>
        <v>1719668.48</v>
      </c>
      <c r="H17" s="747">
        <v>5697614.666666667</v>
      </c>
      <c r="I17" s="45">
        <f t="shared" si="0"/>
        <v>-3977946.186666667</v>
      </c>
      <c r="J17" s="333">
        <f t="shared" si="1"/>
        <v>-0.69817746888697985</v>
      </c>
      <c r="K17" s="749"/>
    </row>
    <row r="18" spans="1:11" ht="11.25" customHeight="1" x14ac:dyDescent="0.25">
      <c r="A18" s="87" t="s">
        <v>998</v>
      </c>
      <c r="B18" s="424"/>
      <c r="C18" s="762">
        <v>3728589</v>
      </c>
      <c r="D18" s="759">
        <v>2523661.0270400001</v>
      </c>
      <c r="E18" s="747">
        <v>2523661.0270400001</v>
      </c>
      <c r="F18" s="747">
        <v>308456</v>
      </c>
      <c r="G18" s="747">
        <f>2282383.71+F18</f>
        <v>2590839.71</v>
      </c>
      <c r="H18" s="747">
        <v>1682440.6846933335</v>
      </c>
      <c r="I18" s="45">
        <f t="shared" si="0"/>
        <v>908399.0253066665</v>
      </c>
      <c r="J18" s="333">
        <f t="shared" si="1"/>
        <v>0.53992930245397908</v>
      </c>
      <c r="K18" s="749"/>
    </row>
    <row r="19" spans="1:11" ht="11.25" customHeight="1" x14ac:dyDescent="0.25">
      <c r="A19" s="87" t="s">
        <v>722</v>
      </c>
      <c r="B19" s="424"/>
      <c r="C19" s="762"/>
      <c r="D19" s="759"/>
      <c r="E19" s="747">
        <v>0</v>
      </c>
      <c r="F19" s="747">
        <v>0</v>
      </c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1.25" customHeight="1" x14ac:dyDescent="0.25">
      <c r="A20" s="521" t="s">
        <v>78</v>
      </c>
      <c r="B20" s="424"/>
      <c r="C20" s="762">
        <v>162320049</v>
      </c>
      <c r="D20" s="759">
        <v>145031000</v>
      </c>
      <c r="E20" s="747">
        <v>142831000</v>
      </c>
      <c r="F20" s="747">
        <v>865363</v>
      </c>
      <c r="G20" s="747">
        <f>105905727+F20</f>
        <v>106771090</v>
      </c>
      <c r="H20" s="747">
        <v>96687333.333333328</v>
      </c>
      <c r="I20" s="45">
        <f t="shared" si="0"/>
        <v>10083756.666666672</v>
      </c>
      <c r="J20" s="333">
        <f t="shared" si="1"/>
        <v>0.10429242713626748</v>
      </c>
      <c r="K20" s="749"/>
    </row>
    <row r="21" spans="1:11" ht="11.25" customHeight="1" x14ac:dyDescent="0.25">
      <c r="A21" s="87" t="s">
        <v>561</v>
      </c>
      <c r="B21" s="424"/>
      <c r="C21" s="762">
        <v>3616241</v>
      </c>
      <c r="D21" s="759">
        <v>11716017.018604141</v>
      </c>
      <c r="E21" s="747">
        <v>24714763.018604141</v>
      </c>
      <c r="F21" s="747">
        <v>56172</v>
      </c>
      <c r="G21" s="747">
        <f>34856014.47+F21+2582000</f>
        <v>37494186.469999999</v>
      </c>
      <c r="H21" s="747">
        <v>7810678.0124027608</v>
      </c>
      <c r="I21" s="45">
        <f t="shared" si="0"/>
        <v>29683508.457597237</v>
      </c>
      <c r="J21" s="333">
        <f t="shared" si="1"/>
        <v>3.8003753848849087</v>
      </c>
      <c r="K21" s="749"/>
    </row>
    <row r="22" spans="1:11" ht="11.25" customHeight="1" x14ac:dyDescent="0.25">
      <c r="A22" s="40" t="s">
        <v>999</v>
      </c>
      <c r="B22" s="422"/>
      <c r="C22" s="762"/>
      <c r="D22" s="759"/>
      <c r="E22" s="747"/>
      <c r="F22" s="747"/>
      <c r="G22" s="747"/>
      <c r="H22" s="747">
        <f t="shared" ref="H22" si="2">D22/2</f>
        <v>0</v>
      </c>
      <c r="I22" s="45">
        <f t="shared" si="0"/>
        <v>0</v>
      </c>
      <c r="J22" s="333" t="str">
        <f t="shared" si="1"/>
        <v/>
      </c>
      <c r="K22" s="749"/>
    </row>
    <row r="23" spans="1:11" ht="24.75" customHeight="1" x14ac:dyDescent="0.25">
      <c r="A23" s="596" t="s">
        <v>149</v>
      </c>
      <c r="B23" s="597"/>
      <c r="C23" s="525">
        <f t="shared" ref="C23:H23" si="3">SUM(C6:C22)</f>
        <v>259573524</v>
      </c>
      <c r="D23" s="526">
        <f t="shared" si="3"/>
        <v>282121835.51396412</v>
      </c>
      <c r="E23" s="527">
        <f t="shared" si="3"/>
        <v>290262438.48896414</v>
      </c>
      <c r="F23" s="527">
        <f t="shared" si="3"/>
        <v>7723406</v>
      </c>
      <c r="G23" s="527">
        <f t="shared" si="3"/>
        <v>218639730.69</v>
      </c>
      <c r="H23" s="527">
        <f t="shared" si="3"/>
        <v>187655534.9259761</v>
      </c>
      <c r="I23" s="527">
        <f t="shared" si="0"/>
        <v>30984195.7640239</v>
      </c>
      <c r="J23" s="528">
        <f t="shared" si="1"/>
        <v>0.16511208036707331</v>
      </c>
      <c r="K23" s="529">
        <f>SUM(K6:K22)</f>
        <v>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103878112</v>
      </c>
      <c r="D26" s="759">
        <v>98964379.472879097</v>
      </c>
      <c r="E26" s="747">
        <v>98964379.472879097</v>
      </c>
      <c r="F26" s="747">
        <v>9090079.2300000004</v>
      </c>
      <c r="G26" s="747">
        <f>73940382+F26</f>
        <v>83030461.230000004</v>
      </c>
      <c r="H26" s="747">
        <v>65976252.9819194</v>
      </c>
      <c r="I26" s="45">
        <f t="shared" ref="I26:I37" si="4">G26-H26</f>
        <v>17054208.248080604</v>
      </c>
      <c r="J26" s="333">
        <f t="shared" ref="J26:J42" si="5">IF(I26=0,"",I26/H26)</f>
        <v>0.25849010026007779</v>
      </c>
      <c r="K26" s="749"/>
    </row>
    <row r="27" spans="1:11" ht="12.75" customHeight="1" x14ac:dyDescent="0.25">
      <c r="A27" s="40" t="s">
        <v>587</v>
      </c>
      <c r="B27" s="422"/>
      <c r="C27" s="762">
        <v>11421583</v>
      </c>
      <c r="D27" s="759">
        <v>11807209.180665646</v>
      </c>
      <c r="E27" s="747">
        <v>11807209.180665646</v>
      </c>
      <c r="F27" s="747">
        <v>593784</v>
      </c>
      <c r="G27" s="747">
        <f>4872281.03+F27</f>
        <v>5466065.0300000003</v>
      </c>
      <c r="H27" s="747">
        <v>7871472.7871104302</v>
      </c>
      <c r="I27" s="45">
        <f t="shared" si="4"/>
        <v>-2405407.7571104299</v>
      </c>
      <c r="J27" s="333">
        <f t="shared" si="5"/>
        <v>-0.30558547582725498</v>
      </c>
      <c r="K27" s="749"/>
    </row>
    <row r="28" spans="1:11" ht="12.75" customHeight="1" x14ac:dyDescent="0.25">
      <c r="A28" s="87" t="s">
        <v>756</v>
      </c>
      <c r="B28" s="424"/>
      <c r="C28" s="762">
        <v>42841196</v>
      </c>
      <c r="D28" s="759">
        <v>0</v>
      </c>
      <c r="E28" s="747">
        <v>0</v>
      </c>
      <c r="F28" s="747"/>
      <c r="G28" s="747"/>
      <c r="H28" s="747">
        <f t="shared" ref="H28" si="6">(D28/12)*8</f>
        <v>0</v>
      </c>
      <c r="I28" s="45">
        <f t="shared" si="4"/>
        <v>0</v>
      </c>
      <c r="J28" s="333" t="str">
        <f t="shared" si="5"/>
        <v/>
      </c>
      <c r="K28" s="749"/>
    </row>
    <row r="29" spans="1:11" ht="12.75" customHeight="1" x14ac:dyDescent="0.25">
      <c r="A29" s="87" t="s">
        <v>811</v>
      </c>
      <c r="B29" s="424"/>
      <c r="C29" s="762">
        <v>37238233</v>
      </c>
      <c r="D29" s="759">
        <v>6000000</v>
      </c>
      <c r="E29" s="747">
        <v>15736812</v>
      </c>
      <c r="F29" s="747"/>
      <c r="G29" s="747"/>
      <c r="H29" s="747">
        <v>4000000</v>
      </c>
      <c r="I29" s="45">
        <f t="shared" si="4"/>
        <v>-4000000</v>
      </c>
      <c r="J29" s="333">
        <f t="shared" si="5"/>
        <v>-1</v>
      </c>
      <c r="K29" s="749"/>
    </row>
    <row r="30" spans="1:11" ht="12.75" customHeight="1" x14ac:dyDescent="0.25">
      <c r="A30" s="87" t="s">
        <v>560</v>
      </c>
      <c r="B30" s="424"/>
      <c r="C30" s="762">
        <v>2014375</v>
      </c>
      <c r="D30" s="759">
        <v>1284984.6954000003</v>
      </c>
      <c r="E30" s="747">
        <v>10284984.6954</v>
      </c>
      <c r="F30" s="747">
        <v>53115</v>
      </c>
      <c r="G30" s="747">
        <f>915373.2+F30</f>
        <v>968488.2</v>
      </c>
      <c r="H30" s="747">
        <v>856656.46360000025</v>
      </c>
      <c r="I30" s="45">
        <f t="shared" si="4"/>
        <v>111831.7363999997</v>
      </c>
      <c r="J30" s="333">
        <f t="shared" si="5"/>
        <v>0.13054443776684962</v>
      </c>
      <c r="K30" s="749"/>
    </row>
    <row r="31" spans="1:11" ht="12.75" customHeight="1" x14ac:dyDescent="0.25">
      <c r="A31" s="87" t="s">
        <v>1003</v>
      </c>
      <c r="B31" s="424"/>
      <c r="C31" s="762">
        <v>35132052</v>
      </c>
      <c r="D31" s="759">
        <v>34407501.256243296</v>
      </c>
      <c r="E31" s="747">
        <v>40000000</v>
      </c>
      <c r="F31" s="747">
        <v>2713838</v>
      </c>
      <c r="G31" s="747">
        <f>27855141.17+F31</f>
        <v>30568979.170000002</v>
      </c>
      <c r="H31" s="747">
        <v>22938334.170828864</v>
      </c>
      <c r="I31" s="45">
        <f t="shared" si="4"/>
        <v>7630644.9991711378</v>
      </c>
      <c r="J31" s="333">
        <f t="shared" si="5"/>
        <v>0.33265907377333359</v>
      </c>
      <c r="K31" s="749"/>
    </row>
    <row r="32" spans="1:11" ht="12.75" customHeight="1" x14ac:dyDescent="0.25">
      <c r="A32" s="87" t="s">
        <v>1087</v>
      </c>
      <c r="B32" s="424"/>
      <c r="C32" s="762">
        <v>6296255</v>
      </c>
      <c r="D32" s="759">
        <v>12456705.530888716</v>
      </c>
      <c r="E32" s="747">
        <v>10677462.332126001</v>
      </c>
      <c r="F32" s="747">
        <v>750714</v>
      </c>
      <c r="G32" s="747">
        <f>3931954.4+F32</f>
        <v>4682668.4000000004</v>
      </c>
      <c r="H32" s="747">
        <v>8304470.3539258102</v>
      </c>
      <c r="I32" s="45">
        <f t="shared" si="4"/>
        <v>-3621801.9539258098</v>
      </c>
      <c r="J32" s="333">
        <f t="shared" si="5"/>
        <v>-0.43612678467973082</v>
      </c>
      <c r="K32" s="749"/>
    </row>
    <row r="33" spans="1:12" ht="12.75" customHeight="1" x14ac:dyDescent="0.25">
      <c r="A33" s="87" t="s">
        <v>1004</v>
      </c>
      <c r="B33" s="424"/>
      <c r="C33" s="762">
        <v>5728182</v>
      </c>
      <c r="D33" s="759">
        <v>14113167.93712</v>
      </c>
      <c r="E33" s="747">
        <v>14113167.93712</v>
      </c>
      <c r="F33" s="747">
        <v>571158</v>
      </c>
      <c r="G33" s="747">
        <f>8192200.56+F33</f>
        <v>8763358.5599999987</v>
      </c>
      <c r="H33" s="747">
        <v>9408778.6247466672</v>
      </c>
      <c r="I33" s="45">
        <f t="shared" si="4"/>
        <v>-645420.06474666856</v>
      </c>
      <c r="J33" s="333">
        <f t="shared" si="5"/>
        <v>-6.8597645931333259E-2</v>
      </c>
      <c r="K33" s="749"/>
    </row>
    <row r="34" spans="1:12" ht="12.75" customHeight="1" x14ac:dyDescent="0.25">
      <c r="A34" s="520" t="s">
        <v>138</v>
      </c>
      <c r="B34" s="424"/>
      <c r="C34" s="762"/>
      <c r="D34" s="759">
        <v>9511000</v>
      </c>
      <c r="E34" s="747">
        <v>9511000</v>
      </c>
      <c r="F34" s="747"/>
      <c r="G34" s="747">
        <v>2292480</v>
      </c>
      <c r="H34" s="747">
        <v>6340666.666666667</v>
      </c>
      <c r="I34" s="45">
        <f t="shared" si="4"/>
        <v>-4048186.666666667</v>
      </c>
      <c r="J34" s="333">
        <f t="shared" si="5"/>
        <v>-0.63844811271159707</v>
      </c>
      <c r="K34" s="749"/>
    </row>
    <row r="35" spans="1:12" ht="12.75" customHeight="1" x14ac:dyDescent="0.25">
      <c r="A35" s="87" t="s">
        <v>540</v>
      </c>
      <c r="B35" s="424"/>
      <c r="C35" s="762">
        <v>40324959</v>
      </c>
      <c r="D35" s="759">
        <v>67960864.319807321</v>
      </c>
      <c r="E35" s="747">
        <v>72195458.319807321</v>
      </c>
      <c r="F35" s="747">
        <v>3206827.44</v>
      </c>
      <c r="G35" s="747">
        <f>29303828.36+F35-892000</f>
        <v>31618655.800000001</v>
      </c>
      <c r="H35" s="747">
        <v>44881242.879871547</v>
      </c>
      <c r="I35" s="45">
        <f t="shared" si="4"/>
        <v>-13262587.079871546</v>
      </c>
      <c r="J35" s="333">
        <f t="shared" si="5"/>
        <v>-0.29550400632553747</v>
      </c>
      <c r="K35" s="749"/>
    </row>
    <row r="36" spans="1:12" ht="12.75" customHeight="1" x14ac:dyDescent="0.25">
      <c r="A36" s="40" t="s">
        <v>720</v>
      </c>
      <c r="B36" s="422"/>
      <c r="C36" s="762"/>
      <c r="D36" s="759"/>
      <c r="E36" s="747"/>
      <c r="F36" s="747"/>
      <c r="G36" s="747"/>
      <c r="H36" s="747">
        <f t="shared" ref="H36" si="7">D36/2</f>
        <v>0</v>
      </c>
      <c r="I36" s="45">
        <f t="shared" si="4"/>
        <v>0</v>
      </c>
      <c r="J36" s="333" t="str">
        <f t="shared" si="5"/>
        <v/>
      </c>
      <c r="K36" s="749"/>
    </row>
    <row r="37" spans="1:12" ht="12.75" customHeight="1" x14ac:dyDescent="0.25">
      <c r="A37" s="93" t="s">
        <v>599</v>
      </c>
      <c r="B37" s="425"/>
      <c r="C37" s="244">
        <f t="shared" ref="C37:K37" si="8">SUM(C26:C36)</f>
        <v>284874947</v>
      </c>
      <c r="D37" s="75">
        <f>SUM(D26:D36)</f>
        <v>256505812.39300406</v>
      </c>
      <c r="E37" s="74">
        <f>SUM(E26:E36)</f>
        <v>283290473.93799806</v>
      </c>
      <c r="F37" s="74">
        <f t="shared" si="8"/>
        <v>16979515.670000002</v>
      </c>
      <c r="G37" s="74">
        <f t="shared" si="8"/>
        <v>167391156.39000005</v>
      </c>
      <c r="H37" s="74">
        <f t="shared" si="8"/>
        <v>170577874.92866939</v>
      </c>
      <c r="I37" s="74">
        <f t="shared" si="4"/>
        <v>-3186718.5386693478</v>
      </c>
      <c r="J37" s="334">
        <f t="shared" si="5"/>
        <v>-1.8681898458413431E-2</v>
      </c>
      <c r="K37" s="146">
        <f t="shared" si="8"/>
        <v>0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9">C23-C37</f>
        <v>-25301423</v>
      </c>
      <c r="D39" s="52">
        <f t="shared" si="9"/>
        <v>25616023.120960057</v>
      </c>
      <c r="E39" s="51">
        <f t="shared" si="9"/>
        <v>6971964.550966084</v>
      </c>
      <c r="F39" s="51">
        <f t="shared" si="9"/>
        <v>-9256109.6700000018</v>
      </c>
      <c r="G39" s="51">
        <f t="shared" si="9"/>
        <v>51248574.299999952</v>
      </c>
      <c r="H39" s="51">
        <f t="shared" si="9"/>
        <v>17077659.997306705</v>
      </c>
      <c r="I39" s="103">
        <f>I23-I37</f>
        <v>34170914.302693248</v>
      </c>
      <c r="J39" s="103">
        <f t="shared" si="5"/>
        <v>2.0009131407981129</v>
      </c>
      <c r="K39" s="195">
        <f>K23-K37</f>
        <v>0</v>
      </c>
    </row>
    <row r="40" spans="1:12" ht="12.75" customHeight="1" x14ac:dyDescent="0.25">
      <c r="A40" s="87" t="s">
        <v>1126</v>
      </c>
      <c r="B40" s="422"/>
      <c r="C40" s="762"/>
      <c r="D40" s="759">
        <v>80087000</v>
      </c>
      <c r="E40" s="747">
        <v>60722000</v>
      </c>
      <c r="F40" s="747"/>
      <c r="G40" s="747"/>
      <c r="H40" s="747">
        <v>53391333.333333336</v>
      </c>
      <c r="I40" s="48">
        <f>G40-H40</f>
        <v>-53391333.333333336</v>
      </c>
      <c r="J40" s="103">
        <f t="shared" si="5"/>
        <v>-1</v>
      </c>
      <c r="K40" s="749"/>
    </row>
    <row r="41" spans="1:12" ht="12.75" customHeight="1" x14ac:dyDescent="0.25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5"/>
        <v/>
      </c>
      <c r="K41" s="749"/>
    </row>
    <row r="42" spans="1:12" ht="12.75" customHeight="1" x14ac:dyDescent="0.25">
      <c r="A42" s="40" t="s">
        <v>601</v>
      </c>
      <c r="B42" s="422"/>
      <c r="C42" s="763"/>
      <c r="D42" s="764"/>
      <c r="E42" s="765"/>
      <c r="F42" s="765"/>
      <c r="G42" s="765"/>
      <c r="H42" s="765"/>
      <c r="I42" s="48">
        <f>G42-H42</f>
        <v>0</v>
      </c>
      <c r="J42" s="103" t="str">
        <f t="shared" si="5"/>
        <v/>
      </c>
      <c r="K42" s="766"/>
    </row>
    <row r="43" spans="1:12" ht="25.5" x14ac:dyDescent="0.25">
      <c r="A43" s="251" t="s">
        <v>903</v>
      </c>
      <c r="B43" s="524"/>
      <c r="C43" s="253">
        <f t="shared" ref="C43:H43" si="10">C39+SUM(C40:C42)</f>
        <v>-25301423</v>
      </c>
      <c r="D43" s="254">
        <f t="shared" si="10"/>
        <v>105703023.12096006</v>
      </c>
      <c r="E43" s="255">
        <f t="shared" si="10"/>
        <v>67693964.550966084</v>
      </c>
      <c r="F43" s="255">
        <f t="shared" si="10"/>
        <v>-9256109.6700000018</v>
      </c>
      <c r="G43" s="255">
        <f t="shared" si="10"/>
        <v>51248574.299999952</v>
      </c>
      <c r="H43" s="255">
        <f t="shared" si="10"/>
        <v>70468993.330640048</v>
      </c>
      <c r="I43" s="332"/>
      <c r="J43" s="332"/>
      <c r="K43" s="256">
        <f>K39+SUM(K40:K42)</f>
        <v>0</v>
      </c>
    </row>
    <row r="44" spans="1:12" ht="12.75" customHeight="1" x14ac:dyDescent="0.25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11">C43-C44</f>
        <v>-25301423</v>
      </c>
      <c r="D45" s="52">
        <f t="shared" si="11"/>
        <v>105703023.12096006</v>
      </c>
      <c r="E45" s="51">
        <f t="shared" si="11"/>
        <v>67693964.550966084</v>
      </c>
      <c r="F45" s="51">
        <f t="shared" si="11"/>
        <v>-9256109.6700000018</v>
      </c>
      <c r="G45" s="51">
        <f t="shared" si="11"/>
        <v>51248574.299999952</v>
      </c>
      <c r="H45" s="51">
        <f t="shared" si="11"/>
        <v>70468993.330640048</v>
      </c>
      <c r="I45" s="330"/>
      <c r="J45" s="330"/>
      <c r="K45" s="195">
        <f>K43-K44</f>
        <v>0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12">SUM(C45:C46)</f>
        <v>-25301423</v>
      </c>
      <c r="D47" s="533">
        <f t="shared" si="12"/>
        <v>105703023.12096006</v>
      </c>
      <c r="E47" s="531">
        <f t="shared" si="12"/>
        <v>67693964.550966084</v>
      </c>
      <c r="F47" s="531">
        <f t="shared" si="12"/>
        <v>-9256109.6700000018</v>
      </c>
      <c r="G47" s="531">
        <f t="shared" si="12"/>
        <v>51248574.299999952</v>
      </c>
      <c r="H47" s="531">
        <f t="shared" si="12"/>
        <v>70468993.330640048</v>
      </c>
      <c r="I47" s="274"/>
      <c r="J47" s="274"/>
      <c r="K47" s="532">
        <f>SUM(K45:K46)</f>
        <v>0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1058</v>
      </c>
      <c r="B49" s="421"/>
      <c r="C49" s="245">
        <f t="shared" ref="C49:H49" si="13">C47+C48</f>
        <v>-25301423</v>
      </c>
      <c r="D49" s="78">
        <f t="shared" si="13"/>
        <v>105703023.12096006</v>
      </c>
      <c r="E49" s="77">
        <f t="shared" si="13"/>
        <v>67693964.550966084</v>
      </c>
      <c r="F49" s="77">
        <f t="shared" si="13"/>
        <v>-9256109.6700000018</v>
      </c>
      <c r="G49" s="77">
        <f t="shared" si="13"/>
        <v>51248574.299999952</v>
      </c>
      <c r="H49" s="77">
        <f t="shared" si="13"/>
        <v>70468993.330640048</v>
      </c>
      <c r="I49" s="337"/>
      <c r="J49" s="337"/>
      <c r="K49" s="235">
        <f>K47+K48</f>
        <v>0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4">C23+SUM(C40:C42)</f>
        <v>259573524</v>
      </c>
      <c r="D54" s="63">
        <f t="shared" si="14"/>
        <v>362208835.51396412</v>
      </c>
      <c r="E54" s="63">
        <f t="shared" si="14"/>
        <v>350984438.48896414</v>
      </c>
      <c r="F54" s="63">
        <f t="shared" si="14"/>
        <v>7723406</v>
      </c>
      <c r="G54" s="63">
        <f t="shared" si="14"/>
        <v>218639730.69</v>
      </c>
      <c r="H54" s="63">
        <f t="shared" si="14"/>
        <v>241046868.25930944</v>
      </c>
      <c r="I54" s="63"/>
      <c r="J54" s="63"/>
      <c r="K54" s="63">
        <f>K23+SUM(K40:K42)</f>
        <v>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5" type="noConversion"/>
  <printOptions horizontalCentered="1"/>
  <pageMargins left="0.35433070866141736" right="0.15748031496062992" top="0.78740157480314965" bottom="0.61" header="0.51181102362204722" footer="0.39370078740157483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="112" zoomScaleNormal="100" zoomScaleSheetLayoutView="112" workbookViewId="0">
      <pane xSplit="2" ySplit="4" topLeftCell="C4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87" t="str">
        <f>muni&amp; " - "&amp;S71D&amp; " - "&amp;date</f>
        <v>NW385 Ramotshere Moiloa - Table C5 Monthly Budget Statement - Capital Expenditure (municipal vote, standard classification and funding) - M10 April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2" x14ac:dyDescent="0.25">
      <c r="A2" s="985" t="str">
        <f>Vdesc</f>
        <v>Vote Description</v>
      </c>
      <c r="B2" s="994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6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Executive &amp;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Finance &amp;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&amp;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Technical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Community &amp; Social Services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Executive &amp; Council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Finance &amp; Administration</v>
      </c>
      <c r="B25" s="422"/>
      <c r="C25" s="135">
        <f>'C5C'!C187</f>
        <v>262880</v>
      </c>
      <c r="D25" s="259">
        <f>'C5C'!D187</f>
        <v>2150000</v>
      </c>
      <c r="E25" s="45">
        <f>'C5C'!E187</f>
        <v>2150000</v>
      </c>
      <c r="F25" s="45">
        <f>'C5C'!F187</f>
        <v>26000</v>
      </c>
      <c r="G25" s="45">
        <f>'C5C'!G187</f>
        <v>235667</v>
      </c>
      <c r="H25" s="45">
        <f>'C5C'!H187</f>
        <v>3997000</v>
      </c>
      <c r="I25" s="45">
        <f>'C5C'!I187</f>
        <v>-3761333</v>
      </c>
      <c r="J25" s="333">
        <f t="shared" ref="J25:J39" si="3">IF(I25=0,"",I25/H25)</f>
        <v>-0.94103902927195393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&amp; Development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3" t="str">
        <f t="shared" si="3"/>
        <v/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Technical Services</v>
      </c>
      <c r="B27" s="422"/>
      <c r="C27" s="135">
        <f>'C5C'!C209</f>
        <v>38926283</v>
      </c>
      <c r="D27" s="259">
        <f>'C5C'!D209</f>
        <v>96595000</v>
      </c>
      <c r="E27" s="45">
        <f>'C5C'!E209</f>
        <v>58586000</v>
      </c>
      <c r="F27" s="45">
        <f>'C5C'!F209</f>
        <v>2022835</v>
      </c>
      <c r="G27" s="45">
        <f>'C5C'!G209</f>
        <v>42189431</v>
      </c>
      <c r="H27" s="45">
        <f>'C5C'!H209</f>
        <v>61833750</v>
      </c>
      <c r="I27" s="45">
        <f>'C5C'!I209</f>
        <v>-19644319</v>
      </c>
      <c r="J27" s="333">
        <f t="shared" si="3"/>
        <v>-0.31769574059473993</v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Community &amp; Social Services</v>
      </c>
      <c r="B28" s="422"/>
      <c r="C28" s="135">
        <f>'C5C'!C220</f>
        <v>8543749</v>
      </c>
      <c r="D28" s="259">
        <f>'C5C'!D220</f>
        <v>6958023.12096</v>
      </c>
      <c r="E28" s="45">
        <f>'C5C'!E220</f>
        <v>6957761.12096</v>
      </c>
      <c r="F28" s="45">
        <f>'C5C'!F220</f>
        <v>0</v>
      </c>
      <c r="G28" s="45">
        <f>'C5C'!G220</f>
        <v>7276257</v>
      </c>
      <c r="H28" s="45">
        <f>'C5C'!H220</f>
        <v>4637932.4139733333</v>
      </c>
      <c r="I28" s="45">
        <f>'C5C'!I220</f>
        <v>2638324.5860266667</v>
      </c>
      <c r="J28" s="333">
        <f t="shared" si="3"/>
        <v>0.56885791998128854</v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 x14ac:dyDescent="0.25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47732912</v>
      </c>
      <c r="D39" s="263">
        <f t="shared" si="4"/>
        <v>105703023.12096</v>
      </c>
      <c r="E39" s="162">
        <f t="shared" si="4"/>
        <v>67693761.120959997</v>
      </c>
      <c r="F39" s="162">
        <f t="shared" si="4"/>
        <v>2048835</v>
      </c>
      <c r="G39" s="162">
        <f t="shared" si="4"/>
        <v>49701355</v>
      </c>
      <c r="H39" s="162">
        <f t="shared" si="4"/>
        <v>70468682.413973331</v>
      </c>
      <c r="I39" s="74">
        <f t="shared" si="4"/>
        <v>-20767327.413973331</v>
      </c>
      <c r="J39" s="334">
        <f t="shared" si="3"/>
        <v>-0.29470293331120023</v>
      </c>
      <c r="K39" s="264">
        <f>SUM(K24:K38)</f>
        <v>0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47732912</v>
      </c>
      <c r="D40" s="261">
        <f t="shared" si="5"/>
        <v>105703023.12096</v>
      </c>
      <c r="E40" s="74">
        <f t="shared" si="5"/>
        <v>67693761.120959997</v>
      </c>
      <c r="F40" s="74">
        <f t="shared" si="5"/>
        <v>2048835</v>
      </c>
      <c r="G40" s="74">
        <f t="shared" si="5"/>
        <v>49701355</v>
      </c>
      <c r="H40" s="74">
        <f t="shared" si="5"/>
        <v>70468682.413973331</v>
      </c>
      <c r="I40" s="74">
        <f t="shared" si="5"/>
        <v>-20767327.413973331</v>
      </c>
      <c r="J40" s="334">
        <f>IF(I40=0,"",I40/H40)</f>
        <v>-0.29470293331120023</v>
      </c>
      <c r="K40" s="146">
        <f>K39+K21</f>
        <v>0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262880</v>
      </c>
      <c r="D43" s="679">
        <f t="shared" si="6"/>
        <v>2150000</v>
      </c>
      <c r="E43" s="647">
        <f t="shared" si="6"/>
        <v>2150000</v>
      </c>
      <c r="F43" s="647">
        <f t="shared" si="6"/>
        <v>26000</v>
      </c>
      <c r="G43" s="647">
        <f t="shared" si="6"/>
        <v>426571</v>
      </c>
      <c r="H43" s="647">
        <f t="shared" si="6"/>
        <v>1433333.3333333333</v>
      </c>
      <c r="I43" s="45">
        <f t="shared" ref="I43:I62" si="7">G43-H43</f>
        <v>-1006762.3333333333</v>
      </c>
      <c r="J43" s="333">
        <f>IF(I43=0,"",I43/H43)</f>
        <v>-0.7023923255813953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/>
      <c r="D44" s="767"/>
      <c r="E44" s="747"/>
      <c r="F44" s="747"/>
      <c r="G44" s="747"/>
      <c r="H44" s="747">
        <f>D44/2</f>
        <v>0</v>
      </c>
      <c r="I44" s="45">
        <f t="shared" si="7"/>
        <v>0</v>
      </c>
      <c r="J44" s="333" t="str">
        <f t="shared" ref="J44:J63" si="8">IF(I44=0,"",I44/H44)</f>
        <v/>
      </c>
      <c r="K44" s="749"/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/>
      <c r="D45" s="769"/>
      <c r="E45" s="770"/>
      <c r="F45" s="770"/>
      <c r="G45" s="770"/>
      <c r="H45" s="770">
        <f t="shared" ref="H45" si="9">D45/2</f>
        <v>0</v>
      </c>
      <c r="I45" s="45">
        <f t="shared" si="7"/>
        <v>0</v>
      </c>
      <c r="J45" s="333" t="str">
        <f t="shared" si="8"/>
        <v/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f>37822+48085+176973</f>
        <v>262880</v>
      </c>
      <c r="D46" s="767">
        <v>2150000</v>
      </c>
      <c r="E46" s="747">
        <v>2150000</v>
      </c>
      <c r="F46" s="747">
        <v>26000</v>
      </c>
      <c r="G46" s="747">
        <f>400571+F46</f>
        <v>426571</v>
      </c>
      <c r="H46" s="747">
        <v>1433333.3333333333</v>
      </c>
      <c r="I46" s="45">
        <f t="shared" si="7"/>
        <v>-1006762.3333333333</v>
      </c>
      <c r="J46" s="333">
        <f t="shared" si="8"/>
        <v>-0.7023923255813953</v>
      </c>
      <c r="K46" s="749"/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10">SUM(C48:C52)</f>
        <v>0</v>
      </c>
      <c r="D47" s="679">
        <f t="shared" si="10"/>
        <v>3873227.3529599998</v>
      </c>
      <c r="E47" s="647">
        <f t="shared" si="10"/>
        <v>3873227.3529599998</v>
      </c>
      <c r="F47" s="647">
        <f t="shared" si="10"/>
        <v>0</v>
      </c>
      <c r="G47" s="647">
        <f t="shared" si="10"/>
        <v>7472168</v>
      </c>
      <c r="H47" s="647">
        <f t="shared" si="10"/>
        <v>2582151.5686399997</v>
      </c>
      <c r="I47" s="45">
        <f t="shared" si="7"/>
        <v>4890016.4313600007</v>
      </c>
      <c r="J47" s="333">
        <f t="shared" si="8"/>
        <v>1.8937759079477803</v>
      </c>
      <c r="K47" s="651">
        <f>SUM(K48:K52)</f>
        <v>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/>
      <c r="D48" s="767"/>
      <c r="E48" s="747"/>
      <c r="F48" s="747"/>
      <c r="G48" s="747"/>
      <c r="H48" s="747">
        <f t="shared" ref="H48:H52" si="11">D48/2</f>
        <v>0</v>
      </c>
      <c r="I48" s="45">
        <f t="shared" si="7"/>
        <v>0</v>
      </c>
      <c r="J48" s="333" t="str">
        <f t="shared" si="8"/>
        <v/>
      </c>
      <c r="K48" s="749"/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0</v>
      </c>
      <c r="D49" s="767">
        <v>2410327.3529599998</v>
      </c>
      <c r="E49" s="747">
        <v>2410327.3529599998</v>
      </c>
      <c r="F49" s="747"/>
      <c r="G49" s="747">
        <v>3837983</v>
      </c>
      <c r="H49" s="747">
        <v>1606884.9019733332</v>
      </c>
      <c r="I49" s="45">
        <f t="shared" si="7"/>
        <v>2231098.0980266668</v>
      </c>
      <c r="J49" s="333">
        <f t="shared" si="8"/>
        <v>1.3884616721999001</v>
      </c>
      <c r="K49" s="749"/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0</v>
      </c>
      <c r="D50" s="767">
        <v>1462900</v>
      </c>
      <c r="E50" s="747">
        <v>1462900</v>
      </c>
      <c r="F50" s="747"/>
      <c r="G50" s="747">
        <v>3634185</v>
      </c>
      <c r="H50" s="747">
        <v>975266.66666666663</v>
      </c>
      <c r="I50" s="45">
        <f t="shared" si="7"/>
        <v>2658918.3333333335</v>
      </c>
      <c r="J50" s="333">
        <f t="shared" si="8"/>
        <v>2.7263500581037667</v>
      </c>
      <c r="K50" s="749"/>
      <c r="L50" s="101"/>
    </row>
    <row r="51" spans="1:12" ht="12.75" customHeight="1" x14ac:dyDescent="0.25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 t="shared" si="11"/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 x14ac:dyDescent="0.25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70">
        <f t="shared" si="11"/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2">SUM(C54:C56)</f>
        <v>38926283</v>
      </c>
      <c r="D53" s="679">
        <f t="shared" si="12"/>
        <v>79545000</v>
      </c>
      <c r="E53" s="647">
        <f t="shared" si="12"/>
        <v>41536000</v>
      </c>
      <c r="F53" s="647">
        <f t="shared" si="12"/>
        <v>1335385</v>
      </c>
      <c r="G53" s="647">
        <f t="shared" si="12"/>
        <v>28885752</v>
      </c>
      <c r="H53" s="647">
        <f t="shared" si="12"/>
        <v>53030000</v>
      </c>
      <c r="I53" s="45">
        <f t="shared" si="7"/>
        <v>-24144248</v>
      </c>
      <c r="J53" s="333">
        <f t="shared" si="8"/>
        <v>-0.45529413539505942</v>
      </c>
      <c r="K53" s="651">
        <f>SUM(K54:K56)</f>
        <v>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/>
      <c r="D54" s="767"/>
      <c r="E54" s="747"/>
      <c r="F54" s="747"/>
      <c r="G54" s="747"/>
      <c r="H54" s="747">
        <f t="shared" ref="H54:H56" si="13">D54/2</f>
        <v>0</v>
      </c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38926283</v>
      </c>
      <c r="D55" s="767">
        <v>79545000</v>
      </c>
      <c r="E55" s="747">
        <v>41536000</v>
      </c>
      <c r="F55" s="747">
        <v>1335385</v>
      </c>
      <c r="G55" s="747">
        <f>27550367+F55</f>
        <v>28885752</v>
      </c>
      <c r="H55" s="747">
        <v>53030000</v>
      </c>
      <c r="I55" s="45">
        <f t="shared" si="7"/>
        <v>-24144248</v>
      </c>
      <c r="J55" s="333">
        <f t="shared" si="8"/>
        <v>-0.45529413539505942</v>
      </c>
      <c r="K55" s="749"/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 t="shared" si="13"/>
        <v>0</v>
      </c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4">SUM(C58:C61)</f>
        <v>8543749</v>
      </c>
      <c r="D57" s="679">
        <f t="shared" si="14"/>
        <v>20134795.767999999</v>
      </c>
      <c r="E57" s="647">
        <f t="shared" si="14"/>
        <v>20134795.767999999</v>
      </c>
      <c r="F57" s="647">
        <f t="shared" si="14"/>
        <v>687450</v>
      </c>
      <c r="G57" s="647">
        <f t="shared" si="14"/>
        <v>12916864</v>
      </c>
      <c r="H57" s="647">
        <f t="shared" si="14"/>
        <v>13423197.1786667</v>
      </c>
      <c r="I57" s="45">
        <f t="shared" si="7"/>
        <v>-506333.17866669968</v>
      </c>
      <c r="J57" s="333">
        <f t="shared" si="8"/>
        <v>-3.7720758469629571E-2</v>
      </c>
      <c r="K57" s="651">
        <f>SUM(K58:K61)</f>
        <v>0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/>
      <c r="D58" s="767">
        <v>16000000</v>
      </c>
      <c r="E58" s="747">
        <v>16000000</v>
      </c>
      <c r="F58" s="747">
        <v>687450</v>
      </c>
      <c r="G58" s="747">
        <f>8595229+F58</f>
        <v>9282679</v>
      </c>
      <c r="H58" s="747">
        <f>10666666.6666667</f>
        <v>10666666.6666667</v>
      </c>
      <c r="I58" s="45">
        <f t="shared" si="7"/>
        <v>-1383987.6666666996</v>
      </c>
      <c r="J58" s="333">
        <f t="shared" si="8"/>
        <v>-0.12974884375000267</v>
      </c>
      <c r="K58" s="749"/>
      <c r="L58" s="101"/>
    </row>
    <row r="59" spans="1:12" ht="12.75" customHeight="1" x14ac:dyDescent="0.25">
      <c r="A59" s="419" t="str">
        <f>'C2-FinPerf SC'!A45</f>
        <v>Water</v>
      </c>
      <c r="B59" s="422"/>
      <c r="C59" s="749"/>
      <c r="D59" s="767">
        <v>3500000</v>
      </c>
      <c r="E59" s="747">
        <v>3500000</v>
      </c>
      <c r="F59" s="747"/>
      <c r="G59" s="747">
        <v>3634185</v>
      </c>
      <c r="H59" s="747">
        <v>2333333.3333333335</v>
      </c>
      <c r="I59" s="45">
        <f t="shared" si="7"/>
        <v>1300851.6666666665</v>
      </c>
      <c r="J59" s="333">
        <f t="shared" si="8"/>
        <v>0.557507857142857</v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/>
      <c r="D60" s="769"/>
      <c r="E60" s="770">
        <v>0</v>
      </c>
      <c r="F60" s="770"/>
      <c r="G60" s="770"/>
      <c r="H60" s="747">
        <f t="shared" ref="H60" si="15">D60/12*7</f>
        <v>0</v>
      </c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>
        <f>2184+8541565</f>
        <v>8543749</v>
      </c>
      <c r="D61" s="767">
        <v>634795.76800000004</v>
      </c>
      <c r="E61" s="747">
        <v>634795.76800000004</v>
      </c>
      <c r="F61" s="747"/>
      <c r="G61" s="747"/>
      <c r="H61" s="747">
        <v>423197.17866666667</v>
      </c>
      <c r="I61" s="45">
        <f t="shared" si="7"/>
        <v>-423197.17866666667</v>
      </c>
      <c r="J61" s="333">
        <f t="shared" si="8"/>
        <v>-1</v>
      </c>
      <c r="K61" s="749"/>
      <c r="L61" s="101"/>
    </row>
    <row r="62" spans="1:12" ht="12.75" customHeight="1" x14ac:dyDescent="0.25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>
        <f t="shared" ref="H62" si="16">D62/2</f>
        <v>0</v>
      </c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47732912</v>
      </c>
      <c r="D63" s="545">
        <f t="shared" ref="D63:I63" si="17">D43+D47+D53+D57+D62</f>
        <v>105703023.12096</v>
      </c>
      <c r="E63" s="481">
        <f t="shared" si="17"/>
        <v>67694023.120959997</v>
      </c>
      <c r="F63" s="481">
        <f t="shared" si="17"/>
        <v>2048835</v>
      </c>
      <c r="G63" s="481">
        <f t="shared" si="17"/>
        <v>49701355</v>
      </c>
      <c r="H63" s="481">
        <f t="shared" si="17"/>
        <v>70468682.080640033</v>
      </c>
      <c r="I63" s="481">
        <f t="shared" si="17"/>
        <v>-20767327.080640033</v>
      </c>
      <c r="J63" s="546">
        <f t="shared" si="8"/>
        <v>-0.29470292997498065</v>
      </c>
      <c r="K63" s="547">
        <f>K43+K47+K53+K57+K62</f>
        <v>0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0</v>
      </c>
      <c r="D66" s="767">
        <v>80087000</v>
      </c>
      <c r="E66" s="747">
        <v>60722000</v>
      </c>
      <c r="F66" s="747">
        <v>2022835</v>
      </c>
      <c r="G66" s="747">
        <f>31288632+F66</f>
        <v>33311467</v>
      </c>
      <c r="H66" s="747">
        <v>53391333.333333336</v>
      </c>
      <c r="I66" s="45">
        <f t="shared" ref="I66:I74" si="18">G66-H66</f>
        <v>-20079866.333333336</v>
      </c>
      <c r="J66" s="333">
        <f t="shared" ref="J66:J74" si="19">IF(I66=0,"",I66/H66)</f>
        <v>-0.37608849750895906</v>
      </c>
      <c r="K66" s="749"/>
      <c r="L66" s="101"/>
    </row>
    <row r="67" spans="1:12" ht="12.75" customHeight="1" x14ac:dyDescent="0.25">
      <c r="A67" s="108" t="s">
        <v>748</v>
      </c>
      <c r="B67" s="170"/>
      <c r="C67" s="762"/>
      <c r="D67" s="767"/>
      <c r="E67" s="747"/>
      <c r="F67" s="747"/>
      <c r="G67" s="747"/>
      <c r="H67" s="747"/>
      <c r="I67" s="45">
        <f t="shared" si="18"/>
        <v>0</v>
      </c>
      <c r="J67" s="333" t="str">
        <f t="shared" si="19"/>
        <v/>
      </c>
      <c r="K67" s="749"/>
      <c r="L67" s="101"/>
    </row>
    <row r="68" spans="1:12" ht="12.75" customHeight="1" x14ac:dyDescent="0.25">
      <c r="A68" s="108" t="s">
        <v>749</v>
      </c>
      <c r="B68" s="170"/>
      <c r="C68" s="762"/>
      <c r="D68" s="767"/>
      <c r="E68" s="747"/>
      <c r="F68" s="747"/>
      <c r="G68" s="747"/>
      <c r="H68" s="747"/>
      <c r="I68" s="45">
        <f t="shared" si="18"/>
        <v>0</v>
      </c>
      <c r="J68" s="333" t="str">
        <f t="shared" si="19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8"/>
        <v>0</v>
      </c>
      <c r="J69" s="338" t="str">
        <f t="shared" si="19"/>
        <v/>
      </c>
      <c r="K69" s="766"/>
      <c r="L69" s="101"/>
    </row>
    <row r="70" spans="1:12" ht="12.75" customHeight="1" x14ac:dyDescent="0.25">
      <c r="A70" s="702" t="s">
        <v>1126</v>
      </c>
      <c r="B70" s="170"/>
      <c r="C70" s="110">
        <f t="shared" ref="C70:H70" si="20">SUM(C66:C69)</f>
        <v>0</v>
      </c>
      <c r="D70" s="260">
        <f t="shared" si="20"/>
        <v>80087000</v>
      </c>
      <c r="E70" s="51">
        <f t="shared" si="20"/>
        <v>60722000</v>
      </c>
      <c r="F70" s="51">
        <f t="shared" si="20"/>
        <v>2022835</v>
      </c>
      <c r="G70" s="51">
        <f t="shared" si="20"/>
        <v>33311467</v>
      </c>
      <c r="H70" s="51">
        <f t="shared" si="20"/>
        <v>53391333.333333336</v>
      </c>
      <c r="I70" s="51">
        <f t="shared" si="18"/>
        <v>-20079866.333333336</v>
      </c>
      <c r="J70" s="147">
        <f t="shared" si="19"/>
        <v>-0.37608849750895906</v>
      </c>
      <c r="K70" s="51">
        <f>SUM(K66:K69)</f>
        <v>0</v>
      </c>
      <c r="L70" s="708"/>
    </row>
    <row r="71" spans="1:12" ht="12.75" customHeight="1" x14ac:dyDescent="0.25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8"/>
        <v>0</v>
      </c>
      <c r="J71" s="333" t="str">
        <f t="shared" si="19"/>
        <v/>
      </c>
      <c r="K71" s="749"/>
      <c r="L71" s="101"/>
    </row>
    <row r="72" spans="1:12" ht="12.75" customHeight="1" x14ac:dyDescent="0.25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8"/>
        <v>0</v>
      </c>
      <c r="J72" s="333" t="str">
        <f t="shared" si="19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/>
      <c r="D73" s="771">
        <v>25616023.120959997</v>
      </c>
      <c r="E73" s="765">
        <v>6971761.0034363791</v>
      </c>
      <c r="F73" s="765">
        <v>26000</v>
      </c>
      <c r="G73" s="765">
        <f>16363888+F73</f>
        <v>16389888</v>
      </c>
      <c r="H73" s="747">
        <f>17077348+750</f>
        <v>17078098</v>
      </c>
      <c r="I73" s="100">
        <f t="shared" si="18"/>
        <v>-688210</v>
      </c>
      <c r="J73" s="338">
        <f t="shared" si="19"/>
        <v>-4.0297813023440904E-2</v>
      </c>
      <c r="K73" s="766"/>
      <c r="L73" s="101"/>
    </row>
    <row r="74" spans="1:12" ht="12.75" customHeight="1" x14ac:dyDescent="0.25">
      <c r="A74" s="542" t="s">
        <v>1057</v>
      </c>
      <c r="B74" s="120"/>
      <c r="C74" s="245">
        <f t="shared" ref="C74:K74" si="21">SUM(C70:C73)</f>
        <v>0</v>
      </c>
      <c r="D74" s="266">
        <f t="shared" si="21"/>
        <v>105703023.12096</v>
      </c>
      <c r="E74" s="77">
        <f t="shared" si="21"/>
        <v>67693761.003436387</v>
      </c>
      <c r="F74" s="77">
        <f>SUM(F70:F73)</f>
        <v>2048835</v>
      </c>
      <c r="G74" s="77">
        <f>SUM(G70:G73)</f>
        <v>49701355</v>
      </c>
      <c r="H74" s="77">
        <f>SUM(H70:H73)</f>
        <v>70469431.333333343</v>
      </c>
      <c r="I74" s="77">
        <f t="shared" si="18"/>
        <v>-20768076.333333343</v>
      </c>
      <c r="J74" s="336">
        <f t="shared" si="19"/>
        <v>-0.2947104289106085</v>
      </c>
      <c r="K74" s="235">
        <f t="shared" si="21"/>
        <v>0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997" t="s">
        <v>176</v>
      </c>
      <c r="B77" s="997"/>
      <c r="C77" s="997"/>
      <c r="D77" s="997"/>
      <c r="E77" s="997"/>
      <c r="F77" s="997"/>
      <c r="G77" s="997"/>
      <c r="H77" s="997"/>
      <c r="I77" s="997"/>
      <c r="J77" s="997"/>
      <c r="K77" s="997"/>
    </row>
    <row r="78" spans="1:12" ht="12" customHeight="1" x14ac:dyDescent="0.25">
      <c r="A78" s="997" t="s">
        <v>653</v>
      </c>
      <c r="B78" s="997"/>
      <c r="C78" s="997"/>
      <c r="D78" s="997"/>
      <c r="E78" s="997"/>
      <c r="F78" s="997"/>
      <c r="G78" s="997"/>
      <c r="H78" s="997"/>
      <c r="I78" s="997"/>
      <c r="J78" s="997"/>
      <c r="K78" s="997"/>
    </row>
    <row r="79" spans="1:12" ht="12" customHeight="1" x14ac:dyDescent="0.25">
      <c r="A79" s="998" t="s">
        <v>654</v>
      </c>
      <c r="B79" s="997"/>
      <c r="C79" s="997"/>
      <c r="D79" s="997"/>
      <c r="E79" s="997"/>
      <c r="F79" s="997"/>
      <c r="G79" s="997"/>
      <c r="H79" s="997"/>
      <c r="I79" s="997"/>
      <c r="J79" s="997"/>
      <c r="K79" s="997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47732912</v>
      </c>
      <c r="D86" s="703">
        <f t="shared" ref="D86:K86" si="22">D40-D74</f>
        <v>0</v>
      </c>
      <c r="E86" s="703">
        <f t="shared" si="22"/>
        <v>0.11752361059188843</v>
      </c>
      <c r="F86" s="703">
        <f t="shared" si="22"/>
        <v>0</v>
      </c>
      <c r="G86" s="703">
        <f t="shared" si="22"/>
        <v>0</v>
      </c>
      <c r="H86" s="703">
        <f t="shared" si="22"/>
        <v>-748.91936001181602</v>
      </c>
      <c r="I86" s="703"/>
      <c r="J86" s="703"/>
      <c r="K86" s="703">
        <f t="shared" si="22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rowBreaks count="1" manualBreakCount="1">
    <brk id="39" max="10" man="1"/>
  </rowBreaks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="112" zoomScaleNormal="100" zoomScaleSheetLayoutView="112" workbookViewId="0">
      <pane xSplit="2" ySplit="4" topLeftCell="C33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87" t="str">
        <f>muni&amp; " - "&amp;S71D&amp; " - "&amp;"A"&amp; " - "&amp;date</f>
        <v>NW385 Ramotshere Moiloa - Table C5 Monthly Budget Statement - Capital Expenditure (municipal vote, standard classification and funding) - A - M10 April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  <c r="L2" s="991" t="e">
        <f>Head4</f>
        <v>#REF!</v>
      </c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3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Executive &amp;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Speaker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Municipal Manager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Internal Audit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Finance &amp;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Budget &amp; Treasury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Human Resources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Information Technology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Records &amp; Registry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Labour Relations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&amp;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3,1 - Local Economic Development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Intergrated Development Plan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structure'!E27</f>
        <v>3,3 - Land Use Management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structure'!E28</f>
        <v>3,4 - Spatial Planning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structure'!E29</f>
        <v>3,5 - Town Planning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 t="str">
        <f>'Org structure'!E30</f>
        <v xml:space="preserve">3,6 - Housing 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Technical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Electricity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Sewerage Reticulation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structure'!E38</f>
        <v>4,3 - Public Works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structure'!E39</f>
        <v>4,4 - Project Management Unit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structure'!E40</f>
        <v>4,5 - Municipal Buildings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structure'!E41</f>
        <v>4,6 - Mechanical Workshop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 t="str">
        <f>'Org structure'!E42</f>
        <v>4,7 - Water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Community &amp; Social Services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Refuse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structure'!E48</f>
        <v>5,2 - Parks and Sports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structure'!E49</f>
        <v>5,3 - Streets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structure'!E50</f>
        <v>5,4 - Traffic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structure'!E51</f>
        <v>5,5 - Cemeteries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structure'!E52</f>
        <v>5,6 - Libraries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 t="str">
        <f>'Org structure'!E53</f>
        <v>5,7 - Security Services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Executive &amp; Council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Mayor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Speaker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Council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Municipal Manager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Internal Audit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Finance &amp; Administration</v>
      </c>
      <c r="B187" s="443"/>
      <c r="C187" s="506">
        <f>SUM(C188:C197)</f>
        <v>262880</v>
      </c>
      <c r="D187" s="447">
        <f>SUM(D188:D197)</f>
        <v>2150000</v>
      </c>
      <c r="E187" s="444">
        <f t="shared" ref="E187:K187" si="24">SUM(E188:E197)</f>
        <v>2150000</v>
      </c>
      <c r="F187" s="446">
        <f t="shared" si="24"/>
        <v>26000</v>
      </c>
      <c r="G187" s="444">
        <f t="shared" si="24"/>
        <v>235667</v>
      </c>
      <c r="H187" s="446">
        <f t="shared" si="24"/>
        <v>3997000</v>
      </c>
      <c r="I187" s="45">
        <f t="shared" si="16"/>
        <v>-3761333</v>
      </c>
      <c r="J187" s="333">
        <f t="shared" si="17"/>
        <v>-0.94103902927195393</v>
      </c>
      <c r="K187" s="445">
        <f t="shared" si="24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Budget &amp; Treasury</v>
      </c>
      <c r="B188" s="448"/>
      <c r="C188" s="758"/>
      <c r="D188" s="759"/>
      <c r="E188" s="747"/>
      <c r="F188" s="760"/>
      <c r="G188" s="747"/>
      <c r="H188" s="760">
        <f>D188/2</f>
        <v>0</v>
      </c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Human Resources</v>
      </c>
      <c r="B189" s="448"/>
      <c r="C189" s="758">
        <v>262880</v>
      </c>
      <c r="D189" s="759">
        <v>550000</v>
      </c>
      <c r="E189" s="747">
        <v>550000</v>
      </c>
      <c r="F189" s="760">
        <v>26000</v>
      </c>
      <c r="G189" s="747">
        <f>209667+F189</f>
        <v>235667</v>
      </c>
      <c r="H189" s="760">
        <v>366666.66666666669</v>
      </c>
      <c r="I189" s="45">
        <f t="shared" si="16"/>
        <v>-130999.66666666669</v>
      </c>
      <c r="J189" s="333">
        <f t="shared" si="17"/>
        <v>-0.35727181818181819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Information Technology</v>
      </c>
      <c r="B190" s="448"/>
      <c r="C190" s="758"/>
      <c r="D190" s="759">
        <v>500000</v>
      </c>
      <c r="E190" s="747">
        <v>1600000</v>
      </c>
      <c r="F190" s="760"/>
      <c r="G190" s="747"/>
      <c r="H190" s="760">
        <v>2897000</v>
      </c>
      <c r="I190" s="45">
        <f t="shared" si="16"/>
        <v>-2897000</v>
      </c>
      <c r="J190" s="333">
        <f t="shared" si="17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Records &amp; Registry</v>
      </c>
      <c r="B191" s="448"/>
      <c r="C191" s="758"/>
      <c r="D191" s="759">
        <v>1100000</v>
      </c>
      <c r="E191" s="747"/>
      <c r="F191" s="760"/>
      <c r="G191" s="747"/>
      <c r="H191" s="760">
        <v>733333.33333333337</v>
      </c>
      <c r="I191" s="45">
        <f t="shared" si="16"/>
        <v>-733333.33333333337</v>
      </c>
      <c r="J191" s="333">
        <f t="shared" si="17"/>
        <v>-1</v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Labour Relations</v>
      </c>
      <c r="B192" s="448"/>
      <c r="C192" s="758"/>
      <c r="D192" s="759"/>
      <c r="E192" s="747"/>
      <c r="F192" s="760"/>
      <c r="G192" s="747"/>
      <c r="H192" s="760">
        <f t="shared" ref="H192" si="25">D192/12*7</f>
        <v>0</v>
      </c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ref="H193:H199" si="26">D193/2</f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6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6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6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6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&amp; Development</v>
      </c>
      <c r="B198" s="443"/>
      <c r="C198" s="506">
        <f t="shared" ref="C198:K198" si="27">SUM(C199:C208)</f>
        <v>0</v>
      </c>
      <c r="D198" s="447">
        <f t="shared" si="27"/>
        <v>0</v>
      </c>
      <c r="E198" s="444">
        <f t="shared" si="27"/>
        <v>0</v>
      </c>
      <c r="F198" s="446">
        <f t="shared" si="27"/>
        <v>0</v>
      </c>
      <c r="G198" s="444">
        <f t="shared" si="27"/>
        <v>0</v>
      </c>
      <c r="H198" s="446">
        <f t="shared" si="27"/>
        <v>0</v>
      </c>
      <c r="I198" s="45">
        <f t="shared" si="16"/>
        <v>0</v>
      </c>
      <c r="J198" s="333" t="str">
        <f t="shared" si="17"/>
        <v/>
      </c>
      <c r="K198" s="445">
        <f t="shared" si="27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3,1 - Local Economic Development</v>
      </c>
      <c r="B199" s="448"/>
      <c r="C199" s="758"/>
      <c r="D199" s="759"/>
      <c r="E199" s="747"/>
      <c r="F199" s="760"/>
      <c r="G199" s="747"/>
      <c r="H199" s="760">
        <f t="shared" si="26"/>
        <v>0</v>
      </c>
      <c r="I199" s="45">
        <f t="shared" si="16"/>
        <v>0</v>
      </c>
      <c r="J199" s="333" t="str">
        <f t="shared" si="1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Intergrated Development Plan</v>
      </c>
      <c r="B200" s="448"/>
      <c r="C200" s="758"/>
      <c r="D200" s="759"/>
      <c r="E200" s="747"/>
      <c r="F200" s="760"/>
      <c r="G200" s="747"/>
      <c r="H200" s="760"/>
      <c r="I200" s="45">
        <f t="shared" ref="I200:I263" si="28">G200-H200</f>
        <v>0</v>
      </c>
      <c r="J200" s="333" t="str">
        <f t="shared" ref="J200:J263" si="29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structure'!E27</f>
        <v>3,3 - Land Use Management</v>
      </c>
      <c r="B201" s="448"/>
      <c r="C201" s="397"/>
      <c r="D201" s="386"/>
      <c r="E201" s="387"/>
      <c r="F201" s="475"/>
      <c r="G201" s="387"/>
      <c r="H201" s="475"/>
      <c r="I201" s="45">
        <f t="shared" si="28"/>
        <v>0</v>
      </c>
      <c r="J201" s="333" t="str">
        <f t="shared" si="29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structure'!E28</f>
        <v>3,4 - Spatial Planning</v>
      </c>
      <c r="B202" s="448"/>
      <c r="C202" s="397"/>
      <c r="D202" s="386"/>
      <c r="E202" s="387"/>
      <c r="F202" s="475"/>
      <c r="G202" s="387"/>
      <c r="H202" s="475"/>
      <c r="I202" s="45">
        <f t="shared" si="28"/>
        <v>0</v>
      </c>
      <c r="J202" s="333" t="str">
        <f t="shared" si="29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 t="str">
        <f>'Org structure'!E29</f>
        <v>3,5 - Town Planning</v>
      </c>
      <c r="B203" s="448"/>
      <c r="C203" s="397"/>
      <c r="D203" s="386"/>
      <c r="E203" s="387"/>
      <c r="F203" s="475"/>
      <c r="G203" s="387"/>
      <c r="H203" s="475"/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 t="str">
        <f>'Org structure'!E30</f>
        <v xml:space="preserve">3,6 - Housing </v>
      </c>
      <c r="B204" s="448"/>
      <c r="C204" s="397"/>
      <c r="D204" s="386"/>
      <c r="E204" s="387"/>
      <c r="F204" s="475"/>
      <c r="G204" s="387"/>
      <c r="H204" s="475"/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8"/>
        <v>0</v>
      </c>
      <c r="J207" s="333" t="str">
        <f t="shared" si="29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8"/>
        <v>0</v>
      </c>
      <c r="J208" s="333" t="str">
        <f t="shared" si="29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Technical Services</v>
      </c>
      <c r="B209" s="443"/>
      <c r="C209" s="506">
        <f t="shared" ref="C209:K209" si="30">SUM(C210:C219)</f>
        <v>38926283</v>
      </c>
      <c r="D209" s="447">
        <f t="shared" si="30"/>
        <v>96595000</v>
      </c>
      <c r="E209" s="444">
        <f t="shared" si="30"/>
        <v>58586000</v>
      </c>
      <c r="F209" s="446">
        <f t="shared" si="30"/>
        <v>2022835</v>
      </c>
      <c r="G209" s="444">
        <f>SUM(G210:G219)</f>
        <v>42189431</v>
      </c>
      <c r="H209" s="446">
        <f t="shared" si="30"/>
        <v>61833750</v>
      </c>
      <c r="I209" s="45">
        <f t="shared" si="28"/>
        <v>-19644319</v>
      </c>
      <c r="J209" s="333">
        <f t="shared" si="29"/>
        <v>-0.31769574059473993</v>
      </c>
      <c r="K209" s="445">
        <f t="shared" si="30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Electricity</v>
      </c>
      <c r="B210" s="448"/>
      <c r="C210" s="397"/>
      <c r="D210" s="386">
        <v>16000000</v>
      </c>
      <c r="E210" s="387">
        <v>16000000</v>
      </c>
      <c r="F210" s="475">
        <v>687450</v>
      </c>
      <c r="G210" s="387">
        <f>8595229+F210</f>
        <v>9282679</v>
      </c>
      <c r="H210" s="475">
        <v>10666666.666666666</v>
      </c>
      <c r="I210" s="45">
        <f t="shared" ref="I210:I216" si="31">G210-H210</f>
        <v>-1383987.666666666</v>
      </c>
      <c r="J210" s="333">
        <f t="shared" si="29"/>
        <v>-0.12974884374999995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Sewerage Reticulation</v>
      </c>
      <c r="B211" s="448"/>
      <c r="C211" s="397"/>
      <c r="D211" s="386"/>
      <c r="E211" s="387">
        <v>0</v>
      </c>
      <c r="F211" s="475"/>
      <c r="G211" s="387"/>
      <c r="H211" s="475">
        <f t="shared" ref="H211" si="32">D211/12*7</f>
        <v>0</v>
      </c>
      <c r="I211" s="45">
        <f t="shared" si="31"/>
        <v>0</v>
      </c>
      <c r="J211" s="333" t="str">
        <f t="shared" si="29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structure'!E38</f>
        <v>4,3 - Public Works</v>
      </c>
      <c r="B212" s="448"/>
      <c r="C212" s="397"/>
      <c r="D212" s="386">
        <v>30755000</v>
      </c>
      <c r="E212" s="387">
        <v>17621000</v>
      </c>
      <c r="F212" s="475"/>
      <c r="G212" s="387">
        <v>4856964</v>
      </c>
      <c r="H212" s="475">
        <v>17940416.666666664</v>
      </c>
      <c r="I212" s="45">
        <f t="shared" si="31"/>
        <v>-13083452.666666664</v>
      </c>
      <c r="J212" s="333">
        <f t="shared" si="29"/>
        <v>-0.72927250853519754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structure'!E39</f>
        <v>4,4 - Project Management Unit</v>
      </c>
      <c r="B213" s="448"/>
      <c r="C213" s="397">
        <v>38926283</v>
      </c>
      <c r="D213" s="386">
        <v>37690000</v>
      </c>
      <c r="E213" s="387">
        <v>14465000</v>
      </c>
      <c r="F213" s="475">
        <v>1335385</v>
      </c>
      <c r="G213" s="387">
        <f>22693403+F213</f>
        <v>24028788</v>
      </c>
      <c r="H213" s="475">
        <v>25126666.666666668</v>
      </c>
      <c r="I213" s="45">
        <f t="shared" si="31"/>
        <v>-1097878.6666666679</v>
      </c>
      <c r="J213" s="333">
        <f t="shared" si="29"/>
        <v>-4.369376492438317E-2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structure'!E40</f>
        <v>4,5 - Municipal Buildings</v>
      </c>
      <c r="B214" s="448"/>
      <c r="C214" s="397"/>
      <c r="D214" s="386">
        <v>1650000</v>
      </c>
      <c r="E214" s="387">
        <v>0</v>
      </c>
      <c r="F214" s="475"/>
      <c r="G214" s="387">
        <v>386815</v>
      </c>
      <c r="H214" s="475">
        <v>1100000</v>
      </c>
      <c r="I214" s="45">
        <f t="shared" si="31"/>
        <v>-713185</v>
      </c>
      <c r="J214" s="333">
        <f t="shared" si="29"/>
        <v>-0.64834999999999998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 t="str">
        <f>'Org structure'!E41</f>
        <v>4,6 - Mechanical Workshop</v>
      </c>
      <c r="B215" s="448"/>
      <c r="C215" s="397"/>
      <c r="D215" s="386">
        <v>7000000</v>
      </c>
      <c r="E215" s="387">
        <v>7000000</v>
      </c>
      <c r="F215" s="475"/>
      <c r="G215" s="387"/>
      <c r="H215" s="475">
        <v>4666666.666666667</v>
      </c>
      <c r="I215" s="45">
        <f t="shared" si="31"/>
        <v>-4666666.666666667</v>
      </c>
      <c r="J215" s="333">
        <f t="shared" si="29"/>
        <v>-1</v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 t="str">
        <f>'Org structure'!E42</f>
        <v>4,7 - Water</v>
      </c>
      <c r="B216" s="448"/>
      <c r="C216" s="397"/>
      <c r="D216" s="386">
        <v>3500000</v>
      </c>
      <c r="E216" s="387">
        <v>3500000</v>
      </c>
      <c r="F216" s="475"/>
      <c r="G216" s="387">
        <v>3634185</v>
      </c>
      <c r="H216" s="475">
        <v>2333333.3333333335</v>
      </c>
      <c r="I216" s="45">
        <f t="shared" si="31"/>
        <v>1300851.6666666665</v>
      </c>
      <c r="J216" s="333">
        <f t="shared" si="29"/>
        <v>0.557507857142857</v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>
        <f t="shared" ref="H217:H230" si="33">D217/2</f>
        <v>0</v>
      </c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>
        <f t="shared" si="33"/>
        <v>0</v>
      </c>
      <c r="I218" s="45">
        <f t="shared" si="28"/>
        <v>0</v>
      </c>
      <c r="J218" s="333" t="str">
        <f t="shared" si="29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>
        <f t="shared" si="33"/>
        <v>0</v>
      </c>
      <c r="I219" s="45">
        <f t="shared" si="28"/>
        <v>0</v>
      </c>
      <c r="J219" s="333" t="str">
        <f t="shared" si="29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Community &amp; Social Services</v>
      </c>
      <c r="B220" s="443"/>
      <c r="C220" s="506">
        <f t="shared" ref="C220:K220" si="34">SUM(C221:C230)</f>
        <v>8543749</v>
      </c>
      <c r="D220" s="447">
        <f t="shared" si="34"/>
        <v>6958023.12096</v>
      </c>
      <c r="E220" s="444">
        <f t="shared" si="34"/>
        <v>6957761.12096</v>
      </c>
      <c r="F220" s="446">
        <f t="shared" si="34"/>
        <v>0</v>
      </c>
      <c r="G220" s="444">
        <f t="shared" si="34"/>
        <v>7276257</v>
      </c>
      <c r="H220" s="446">
        <f t="shared" si="34"/>
        <v>4637932.4139733333</v>
      </c>
      <c r="I220" s="45">
        <f t="shared" si="28"/>
        <v>2638324.5860266667</v>
      </c>
      <c r="J220" s="333">
        <f t="shared" si="29"/>
        <v>0.56885791998128854</v>
      </c>
      <c r="K220" s="445">
        <f t="shared" si="34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Refuse</v>
      </c>
      <c r="B221" s="448"/>
      <c r="C221" s="397">
        <v>8543749</v>
      </c>
      <c r="D221" s="386">
        <v>634795.76800000004</v>
      </c>
      <c r="E221" s="387">
        <v>634795.76800000004</v>
      </c>
      <c r="F221" s="475"/>
      <c r="G221" s="387"/>
      <c r="H221" s="475">
        <v>423197.17866666667</v>
      </c>
      <c r="I221" s="45">
        <f t="shared" si="28"/>
        <v>-423197.17866666667</v>
      </c>
      <c r="J221" s="333">
        <f t="shared" si="29"/>
        <v>-1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structure'!E48</f>
        <v>5,2 - Parks and Sports</v>
      </c>
      <c r="B222" s="448"/>
      <c r="C222" s="397"/>
      <c r="D222" s="386">
        <v>2410327.3529599998</v>
      </c>
      <c r="E222" s="387">
        <v>2410327.3529599998</v>
      </c>
      <c r="F222" s="475"/>
      <c r="G222" s="387">
        <v>3837983</v>
      </c>
      <c r="H222" s="475">
        <v>1606884.9019733332</v>
      </c>
      <c r="I222" s="45">
        <f t="shared" si="28"/>
        <v>2231098.0980266668</v>
      </c>
      <c r="J222" s="333">
        <f t="shared" si="29"/>
        <v>1.3884616721999001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structure'!E49</f>
        <v>5,3 - Streets</v>
      </c>
      <c r="B223" s="448"/>
      <c r="C223" s="397"/>
      <c r="D223" s="386"/>
      <c r="E223" s="387">
        <v>0</v>
      </c>
      <c r="F223" s="475"/>
      <c r="G223" s="387"/>
      <c r="H223" s="475">
        <f t="shared" ref="H223" si="35">D223/12*7</f>
        <v>0</v>
      </c>
      <c r="I223" s="45">
        <f t="shared" si="28"/>
        <v>0</v>
      </c>
      <c r="J223" s="333" t="str">
        <f t="shared" si="29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structure'!E50</f>
        <v>5,4 - Traffic</v>
      </c>
      <c r="B224" s="448"/>
      <c r="C224" s="397"/>
      <c r="D224" s="386">
        <v>1302900</v>
      </c>
      <c r="E224" s="387">
        <v>1302900</v>
      </c>
      <c r="F224" s="475"/>
      <c r="G224" s="387"/>
      <c r="H224" s="475">
        <v>868600</v>
      </c>
      <c r="I224" s="45">
        <f t="shared" si="28"/>
        <v>-868600</v>
      </c>
      <c r="J224" s="333">
        <f t="shared" si="29"/>
        <v>-1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structure'!E51</f>
        <v>5,5 - Cemeteries</v>
      </c>
      <c r="B225" s="448"/>
      <c r="C225" s="397"/>
      <c r="D225" s="386">
        <v>2450000</v>
      </c>
      <c r="E225" s="387">
        <v>2450000</v>
      </c>
      <c r="F225" s="475"/>
      <c r="G225" s="387"/>
      <c r="H225" s="475">
        <v>1633333.3333333333</v>
      </c>
      <c r="I225" s="45">
        <f t="shared" si="28"/>
        <v>-1633333.3333333333</v>
      </c>
      <c r="J225" s="333">
        <f t="shared" si="29"/>
        <v>-1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 t="str">
        <f>'Org structure'!E52</f>
        <v>5,6 - Libraries</v>
      </c>
      <c r="B226" s="448"/>
      <c r="C226" s="397"/>
      <c r="D226" s="386"/>
      <c r="E226" s="387">
        <v>0</v>
      </c>
      <c r="F226" s="475"/>
      <c r="G226" s="387"/>
      <c r="H226" s="475">
        <f>D226/12*8</f>
        <v>0</v>
      </c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 t="str">
        <f>'Org structure'!E53</f>
        <v>5,7 - Security Services</v>
      </c>
      <c r="B227" s="448"/>
      <c r="C227" s="397"/>
      <c r="D227" s="386">
        <v>160000</v>
      </c>
      <c r="E227" s="387">
        <v>159738</v>
      </c>
      <c r="F227" s="475"/>
      <c r="G227" s="387">
        <v>3438274</v>
      </c>
      <c r="H227" s="475">
        <f>106667-750</f>
        <v>105917</v>
      </c>
      <c r="I227" s="45">
        <f t="shared" si="28"/>
        <v>3332357</v>
      </c>
      <c r="J227" s="333">
        <f t="shared" si="29"/>
        <v>31.461965501288745</v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>
        <f t="shared" si="33"/>
        <v>0</v>
      </c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>
        <f t="shared" si="33"/>
        <v>0</v>
      </c>
      <c r="I229" s="45">
        <f t="shared" si="28"/>
        <v>0</v>
      </c>
      <c r="J229" s="333" t="str">
        <f t="shared" si="29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>
        <f t="shared" si="33"/>
        <v>0</v>
      </c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[NAME OF VOTE 6]</v>
      </c>
      <c r="B231" s="443"/>
      <c r="C231" s="506">
        <f t="shared" ref="C231:K231" si="36">SUM(C232:C241)</f>
        <v>0</v>
      </c>
      <c r="D231" s="447">
        <f t="shared" si="36"/>
        <v>0</v>
      </c>
      <c r="E231" s="444">
        <f t="shared" si="36"/>
        <v>0</v>
      </c>
      <c r="F231" s="446">
        <f t="shared" si="36"/>
        <v>0</v>
      </c>
      <c r="G231" s="444">
        <f t="shared" si="36"/>
        <v>0</v>
      </c>
      <c r="H231" s="446">
        <f t="shared" si="36"/>
        <v>0</v>
      </c>
      <c r="I231" s="45">
        <f t="shared" si="28"/>
        <v>0</v>
      </c>
      <c r="J231" s="333" t="str">
        <f t="shared" si="29"/>
        <v/>
      </c>
      <c r="K231" s="445">
        <f t="shared" si="36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8"/>
        <v>0</v>
      </c>
      <c r="J240" s="333" t="str">
        <f t="shared" si="29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[NAME OF VOTE 7]</v>
      </c>
      <c r="B242" s="443"/>
      <c r="C242" s="506">
        <f t="shared" ref="C242:K242" si="37">SUM(C243:C252)</f>
        <v>0</v>
      </c>
      <c r="D242" s="447">
        <f t="shared" si="37"/>
        <v>0</v>
      </c>
      <c r="E242" s="444">
        <f t="shared" si="37"/>
        <v>0</v>
      </c>
      <c r="F242" s="446">
        <f t="shared" si="37"/>
        <v>0</v>
      </c>
      <c r="G242" s="444">
        <f t="shared" si="37"/>
        <v>0</v>
      </c>
      <c r="H242" s="446">
        <f t="shared" si="37"/>
        <v>0</v>
      </c>
      <c r="I242" s="45">
        <f t="shared" si="28"/>
        <v>0</v>
      </c>
      <c r="J242" s="333" t="str">
        <f t="shared" si="29"/>
        <v/>
      </c>
      <c r="K242" s="445">
        <f t="shared" si="37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8"/>
        <v>0</v>
      </c>
      <c r="J251" s="333" t="str">
        <f t="shared" si="29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[NAME OF VOTE 8]</v>
      </c>
      <c r="B253" s="448"/>
      <c r="C253" s="506">
        <f t="shared" ref="C253:K253" si="38">SUM(C254:C263)</f>
        <v>0</v>
      </c>
      <c r="D253" s="447">
        <f t="shared" si="38"/>
        <v>0</v>
      </c>
      <c r="E253" s="444">
        <f t="shared" si="38"/>
        <v>0</v>
      </c>
      <c r="F253" s="446">
        <f t="shared" si="38"/>
        <v>0</v>
      </c>
      <c r="G253" s="444">
        <f t="shared" si="38"/>
        <v>0</v>
      </c>
      <c r="H253" s="446">
        <f t="shared" si="38"/>
        <v>0</v>
      </c>
      <c r="I253" s="45">
        <f t="shared" si="28"/>
        <v>0</v>
      </c>
      <c r="J253" s="333" t="str">
        <f t="shared" si="29"/>
        <v/>
      </c>
      <c r="K253" s="445">
        <f t="shared" si="38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8"/>
        <v>0</v>
      </c>
      <c r="J262" s="333" t="str">
        <f t="shared" si="29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8"/>
        <v>0</v>
      </c>
      <c r="J263" s="333" t="str">
        <f t="shared" si="29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[NAME OF VOTE 9]</v>
      </c>
      <c r="B264" s="448"/>
      <c r="C264" s="506">
        <f t="shared" ref="C264:K264" si="39">SUM(C265:C274)</f>
        <v>0</v>
      </c>
      <c r="D264" s="447">
        <f t="shared" si="39"/>
        <v>0</v>
      </c>
      <c r="E264" s="444">
        <f t="shared" si="39"/>
        <v>0</v>
      </c>
      <c r="F264" s="446">
        <f t="shared" si="39"/>
        <v>0</v>
      </c>
      <c r="G264" s="444">
        <f t="shared" si="39"/>
        <v>0</v>
      </c>
      <c r="H264" s="446">
        <f t="shared" si="39"/>
        <v>0</v>
      </c>
      <c r="I264" s="45">
        <f t="shared" ref="I264:I327" si="40">G264-H264</f>
        <v>0</v>
      </c>
      <c r="J264" s="333" t="str">
        <f t="shared" ref="J264:J327" si="41">IF(I264=0,"",I264/H264)</f>
        <v/>
      </c>
      <c r="K264" s="445">
        <f t="shared" si="39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40"/>
        <v>0</v>
      </c>
      <c r="J265" s="333" t="str">
        <f t="shared" si="41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0"/>
        <v>0</v>
      </c>
      <c r="J266" s="333" t="str">
        <f t="shared" si="41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0"/>
        <v>0</v>
      </c>
      <c r="J267" s="333" t="str">
        <f t="shared" si="41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0"/>
        <v>0</v>
      </c>
      <c r="J268" s="333" t="str">
        <f t="shared" si="41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0"/>
        <v>0</v>
      </c>
      <c r="J269" s="333" t="str">
        <f t="shared" si="41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0"/>
        <v>0</v>
      </c>
      <c r="J270" s="333" t="str">
        <f t="shared" si="41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0"/>
        <v>0</v>
      </c>
      <c r="J271" s="333" t="str">
        <f t="shared" si="41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0"/>
        <v>0</v>
      </c>
      <c r="J272" s="333" t="str">
        <f t="shared" si="41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40"/>
        <v>0</v>
      </c>
      <c r="J273" s="333" t="str">
        <f t="shared" si="41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40"/>
        <v>0</v>
      </c>
      <c r="J274" s="333" t="str">
        <f t="shared" si="41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[NAME OF VOTE 10]</v>
      </c>
      <c r="B275" s="448"/>
      <c r="C275" s="506">
        <f t="shared" ref="C275:K275" si="42">SUM(C276:C285)</f>
        <v>0</v>
      </c>
      <c r="D275" s="447">
        <f t="shared" si="42"/>
        <v>0</v>
      </c>
      <c r="E275" s="444">
        <f t="shared" si="42"/>
        <v>0</v>
      </c>
      <c r="F275" s="446">
        <f t="shared" si="42"/>
        <v>0</v>
      </c>
      <c r="G275" s="444">
        <f t="shared" si="42"/>
        <v>0</v>
      </c>
      <c r="H275" s="446">
        <f t="shared" si="42"/>
        <v>0</v>
      </c>
      <c r="I275" s="45">
        <f t="shared" si="40"/>
        <v>0</v>
      </c>
      <c r="J275" s="333" t="str">
        <f t="shared" si="41"/>
        <v/>
      </c>
      <c r="K275" s="445">
        <f t="shared" si="42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40"/>
        <v>0</v>
      </c>
      <c r="J276" s="333" t="str">
        <f t="shared" si="41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0"/>
        <v>0</v>
      </c>
      <c r="J277" s="333" t="str">
        <f t="shared" si="41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0"/>
        <v>0</v>
      </c>
      <c r="J278" s="333" t="str">
        <f t="shared" si="41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0"/>
        <v>0</v>
      </c>
      <c r="J279" s="333" t="str">
        <f t="shared" si="41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0"/>
        <v>0</v>
      </c>
      <c r="J280" s="333" t="str">
        <f t="shared" si="41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0"/>
        <v>0</v>
      </c>
      <c r="J281" s="333" t="str">
        <f t="shared" si="41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0"/>
        <v>0</v>
      </c>
      <c r="J282" s="333" t="str">
        <f t="shared" si="41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0"/>
        <v>0</v>
      </c>
      <c r="J283" s="333" t="str">
        <f t="shared" si="41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40"/>
        <v>0</v>
      </c>
      <c r="J284" s="333" t="str">
        <f t="shared" si="41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40"/>
        <v>0</v>
      </c>
      <c r="J285" s="333" t="str">
        <f t="shared" si="41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43">SUM(C287:C296)</f>
        <v>0</v>
      </c>
      <c r="D286" s="447">
        <f t="shared" si="43"/>
        <v>0</v>
      </c>
      <c r="E286" s="444">
        <f t="shared" si="43"/>
        <v>0</v>
      </c>
      <c r="F286" s="446">
        <f t="shared" si="43"/>
        <v>0</v>
      </c>
      <c r="G286" s="444">
        <f t="shared" si="43"/>
        <v>0</v>
      </c>
      <c r="H286" s="446">
        <f t="shared" si="43"/>
        <v>0</v>
      </c>
      <c r="I286" s="45">
        <f t="shared" si="40"/>
        <v>0</v>
      </c>
      <c r="J286" s="333" t="str">
        <f t="shared" si="41"/>
        <v/>
      </c>
      <c r="K286" s="445">
        <f t="shared" si="43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40"/>
        <v>0</v>
      </c>
      <c r="J287" s="333" t="str">
        <f t="shared" si="41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0"/>
        <v>0</v>
      </c>
      <c r="J288" s="333" t="str">
        <f t="shared" si="41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0"/>
        <v>0</v>
      </c>
      <c r="J289" s="333" t="str">
        <f t="shared" si="41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0"/>
        <v>0</v>
      </c>
      <c r="J290" s="333" t="str">
        <f t="shared" si="41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0"/>
        <v>0</v>
      </c>
      <c r="J291" s="333" t="str">
        <f t="shared" si="41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0"/>
        <v>0</v>
      </c>
      <c r="J292" s="333" t="str">
        <f t="shared" si="41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0"/>
        <v>0</v>
      </c>
      <c r="J293" s="333" t="str">
        <f t="shared" si="41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0"/>
        <v>0</v>
      </c>
      <c r="J294" s="333" t="str">
        <f t="shared" si="41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40"/>
        <v>0</v>
      </c>
      <c r="J295" s="333" t="str">
        <f t="shared" si="41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40"/>
        <v>0</v>
      </c>
      <c r="J296" s="333" t="str">
        <f t="shared" si="41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4">SUM(C298:C307)</f>
        <v>0</v>
      </c>
      <c r="D297" s="447">
        <f t="shared" si="44"/>
        <v>0</v>
      </c>
      <c r="E297" s="444">
        <f t="shared" si="44"/>
        <v>0</v>
      </c>
      <c r="F297" s="446">
        <f t="shared" si="44"/>
        <v>0</v>
      </c>
      <c r="G297" s="444">
        <f t="shared" si="44"/>
        <v>0</v>
      </c>
      <c r="H297" s="446">
        <f t="shared" si="44"/>
        <v>0</v>
      </c>
      <c r="I297" s="45">
        <f t="shared" si="40"/>
        <v>0</v>
      </c>
      <c r="J297" s="333" t="str">
        <f t="shared" si="41"/>
        <v/>
      </c>
      <c r="K297" s="445">
        <f t="shared" si="44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40"/>
        <v>0</v>
      </c>
      <c r="J298" s="333" t="str">
        <f t="shared" si="41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0"/>
        <v>0</v>
      </c>
      <c r="J299" s="333" t="str">
        <f t="shared" si="41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0"/>
        <v>0</v>
      </c>
      <c r="J300" s="333" t="str">
        <f t="shared" si="41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0"/>
        <v>0</v>
      </c>
      <c r="J301" s="333" t="str">
        <f t="shared" si="41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0"/>
        <v>0</v>
      </c>
      <c r="J302" s="333" t="str">
        <f t="shared" si="41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0"/>
        <v>0</v>
      </c>
      <c r="J303" s="333" t="str">
        <f t="shared" si="41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0"/>
        <v>0</v>
      </c>
      <c r="J304" s="333" t="str">
        <f t="shared" si="41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0"/>
        <v>0</v>
      </c>
      <c r="J305" s="333" t="str">
        <f t="shared" si="41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40"/>
        <v>0</v>
      </c>
      <c r="J306" s="333" t="str">
        <f t="shared" si="41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40"/>
        <v>0</v>
      </c>
      <c r="J307" s="333" t="str">
        <f t="shared" si="41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5">SUM(C309:C318)</f>
        <v>0</v>
      </c>
      <c r="D308" s="447">
        <f t="shared" si="45"/>
        <v>0</v>
      </c>
      <c r="E308" s="444">
        <f t="shared" si="45"/>
        <v>0</v>
      </c>
      <c r="F308" s="446">
        <f t="shared" si="45"/>
        <v>0</v>
      </c>
      <c r="G308" s="444">
        <f t="shared" si="45"/>
        <v>0</v>
      </c>
      <c r="H308" s="446">
        <f t="shared" si="45"/>
        <v>0</v>
      </c>
      <c r="I308" s="45">
        <f t="shared" si="40"/>
        <v>0</v>
      </c>
      <c r="J308" s="333" t="str">
        <f t="shared" si="41"/>
        <v/>
      </c>
      <c r="K308" s="445">
        <f t="shared" si="45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40"/>
        <v>0</v>
      </c>
      <c r="J309" s="333" t="str">
        <f t="shared" si="41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0"/>
        <v>0</v>
      </c>
      <c r="J310" s="333" t="str">
        <f t="shared" si="41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0"/>
        <v>0</v>
      </c>
      <c r="J311" s="333" t="str">
        <f t="shared" si="41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0"/>
        <v>0</v>
      </c>
      <c r="J312" s="333" t="str">
        <f t="shared" si="41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0"/>
        <v>0</v>
      </c>
      <c r="J313" s="333" t="str">
        <f t="shared" si="41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0"/>
        <v>0</v>
      </c>
      <c r="J314" s="333" t="str">
        <f t="shared" si="41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0"/>
        <v>0</v>
      </c>
      <c r="J315" s="333" t="str">
        <f t="shared" si="41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0"/>
        <v>0</v>
      </c>
      <c r="J316" s="333" t="str">
        <f t="shared" si="41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40"/>
        <v>0</v>
      </c>
      <c r="J317" s="333" t="str">
        <f t="shared" si="41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40"/>
        <v>0</v>
      </c>
      <c r="J318" s="333" t="str">
        <f t="shared" si="41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6">SUM(C320:C329)</f>
        <v>0</v>
      </c>
      <c r="D319" s="447">
        <f t="shared" si="46"/>
        <v>0</v>
      </c>
      <c r="E319" s="444">
        <f t="shared" si="46"/>
        <v>0</v>
      </c>
      <c r="F319" s="446">
        <f t="shared" si="46"/>
        <v>0</v>
      </c>
      <c r="G319" s="444">
        <f t="shared" si="46"/>
        <v>0</v>
      </c>
      <c r="H319" s="446">
        <f t="shared" si="46"/>
        <v>0</v>
      </c>
      <c r="I319" s="45">
        <f t="shared" si="40"/>
        <v>0</v>
      </c>
      <c r="J319" s="333" t="str">
        <f t="shared" si="41"/>
        <v/>
      </c>
      <c r="K319" s="445">
        <f t="shared" si="46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40"/>
        <v>0</v>
      </c>
      <c r="J320" s="333" t="str">
        <f t="shared" si="41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0"/>
        <v>0</v>
      </c>
      <c r="J321" s="333" t="str">
        <f t="shared" si="41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0"/>
        <v>0</v>
      </c>
      <c r="J322" s="333" t="str">
        <f t="shared" si="41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0"/>
        <v>0</v>
      </c>
      <c r="J323" s="333" t="str">
        <f t="shared" si="41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0"/>
        <v>0</v>
      </c>
      <c r="J324" s="333" t="str">
        <f t="shared" si="41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0"/>
        <v>0</v>
      </c>
      <c r="J325" s="333" t="str">
        <f t="shared" si="41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40"/>
        <v>0</v>
      </c>
      <c r="J326" s="333" t="str">
        <f t="shared" si="41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0"/>
        <v>0</v>
      </c>
      <c r="J327" s="333" t="str">
        <f t="shared" si="41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7">G328-H328</f>
        <v>0</v>
      </c>
      <c r="J328" s="333" t="str">
        <f t="shared" ref="J328:J343" si="48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7"/>
        <v>0</v>
      </c>
      <c r="J329" s="333" t="str">
        <f t="shared" si="48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9">SUM(C331:C340)</f>
        <v>0</v>
      </c>
      <c r="D330" s="447">
        <f t="shared" si="49"/>
        <v>0</v>
      </c>
      <c r="E330" s="444">
        <f t="shared" si="49"/>
        <v>0</v>
      </c>
      <c r="F330" s="446">
        <f t="shared" si="49"/>
        <v>0</v>
      </c>
      <c r="G330" s="444">
        <f t="shared" si="49"/>
        <v>0</v>
      </c>
      <c r="H330" s="446">
        <f t="shared" si="49"/>
        <v>0</v>
      </c>
      <c r="I330" s="45">
        <f t="shared" si="47"/>
        <v>0</v>
      </c>
      <c r="J330" s="333" t="str">
        <f t="shared" si="48"/>
        <v/>
      </c>
      <c r="K330" s="445">
        <f t="shared" si="49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7"/>
        <v>0</v>
      </c>
      <c r="J331" s="333" t="str">
        <f t="shared" si="48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7"/>
        <v>0</v>
      </c>
      <c r="J332" s="333" t="str">
        <f t="shared" si="48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7"/>
        <v>0</v>
      </c>
      <c r="J333" s="333" t="str">
        <f t="shared" si="48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7"/>
        <v>0</v>
      </c>
      <c r="J334" s="333" t="str">
        <f t="shared" si="48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7"/>
        <v>0</v>
      </c>
      <c r="J335" s="333" t="str">
        <f t="shared" si="48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7"/>
        <v>0</v>
      </c>
      <c r="J336" s="333" t="str">
        <f t="shared" si="48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7"/>
        <v>0</v>
      </c>
      <c r="J337" s="333" t="str">
        <f t="shared" si="48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7"/>
        <v>0</v>
      </c>
      <c r="J338" s="333" t="str">
        <f t="shared" si="48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7"/>
        <v>0</v>
      </c>
      <c r="J339" s="333" t="str">
        <f t="shared" si="48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7"/>
        <v>0</v>
      </c>
      <c r="J340" s="333" t="str">
        <f t="shared" si="48"/>
        <v/>
      </c>
      <c r="K340" s="398"/>
      <c r="L340" s="455">
        <f t="shared" ref="L340:W340" si="50">SUM(L175:L251)</f>
        <v>0</v>
      </c>
      <c r="M340" s="456">
        <f t="shared" si="50"/>
        <v>0</v>
      </c>
      <c r="N340" s="456">
        <f t="shared" si="50"/>
        <v>0</v>
      </c>
      <c r="O340" s="456">
        <f t="shared" si="50"/>
        <v>0</v>
      </c>
      <c r="P340" s="456">
        <f t="shared" si="50"/>
        <v>0</v>
      </c>
      <c r="Q340" s="456">
        <f t="shared" si="50"/>
        <v>0</v>
      </c>
      <c r="R340" s="456">
        <f t="shared" si="50"/>
        <v>0</v>
      </c>
      <c r="S340" s="456">
        <f t="shared" si="50"/>
        <v>0</v>
      </c>
      <c r="T340" s="456">
        <f t="shared" si="50"/>
        <v>0</v>
      </c>
      <c r="U340" s="456">
        <f t="shared" si="50"/>
        <v>0</v>
      </c>
      <c r="V340" s="456">
        <f t="shared" si="50"/>
        <v>0</v>
      </c>
      <c r="W340" s="456">
        <f t="shared" si="50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47732912</v>
      </c>
      <c r="D341" s="478">
        <f t="shared" ref="D341:K341" si="51">D176+D187+D198+D209+D220+D231+D242+D253+D264+D286+D297+D308+D319+D330+D275</f>
        <v>105703023.12096</v>
      </c>
      <c r="E341" s="433">
        <f t="shared" si="51"/>
        <v>67693761.120959997</v>
      </c>
      <c r="F341" s="477">
        <f t="shared" si="51"/>
        <v>2048835</v>
      </c>
      <c r="G341" s="433">
        <f t="shared" si="51"/>
        <v>49701355</v>
      </c>
      <c r="H341" s="477">
        <f t="shared" si="51"/>
        <v>70468682.413973331</v>
      </c>
      <c r="I341" s="433">
        <f t="shared" si="47"/>
        <v>-20767327.413973331</v>
      </c>
      <c r="J341" s="433">
        <f t="shared" si="48"/>
        <v>-0.29470293331120023</v>
      </c>
      <c r="K341" s="516">
        <f t="shared" si="51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7"/>
        <v>0</v>
      </c>
      <c r="J342" s="51" t="str">
        <f t="shared" si="48"/>
        <v/>
      </c>
      <c r="K342" s="195"/>
      <c r="L342" s="483">
        <f t="shared" ref="L342:W342" si="52">L171-L340</f>
        <v>0</v>
      </c>
      <c r="M342" s="484">
        <f t="shared" si="52"/>
        <v>0</v>
      </c>
      <c r="N342" s="484">
        <f t="shared" si="52"/>
        <v>0</v>
      </c>
      <c r="O342" s="484">
        <f t="shared" si="52"/>
        <v>0</v>
      </c>
      <c r="P342" s="484">
        <f t="shared" si="52"/>
        <v>0</v>
      </c>
      <c r="Q342" s="484">
        <f t="shared" si="52"/>
        <v>0</v>
      </c>
      <c r="R342" s="484">
        <f t="shared" si="52"/>
        <v>0</v>
      </c>
      <c r="S342" s="484">
        <f t="shared" si="52"/>
        <v>0</v>
      </c>
      <c r="T342" s="484">
        <f t="shared" si="52"/>
        <v>0</v>
      </c>
      <c r="U342" s="484">
        <f t="shared" si="52"/>
        <v>0</v>
      </c>
      <c r="V342" s="484">
        <f t="shared" si="52"/>
        <v>0</v>
      </c>
      <c r="W342" s="484">
        <f t="shared" si="52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47732912</v>
      </c>
      <c r="D343" s="515">
        <f t="shared" ref="D343:K343" si="53">D172+D341</f>
        <v>105703023.12096</v>
      </c>
      <c r="E343" s="56">
        <f t="shared" si="53"/>
        <v>67693761.120959997</v>
      </c>
      <c r="F343" s="482">
        <f t="shared" si="53"/>
        <v>2048835</v>
      </c>
      <c r="G343" s="56">
        <f t="shared" si="53"/>
        <v>49701355</v>
      </c>
      <c r="H343" s="482">
        <f t="shared" si="53"/>
        <v>70468682.413973331</v>
      </c>
      <c r="I343" s="56">
        <f t="shared" si="47"/>
        <v>-20767327.413973331</v>
      </c>
      <c r="J343" s="56">
        <f t="shared" si="48"/>
        <v>-0.29470293331120023</v>
      </c>
      <c r="K343" s="236">
        <f t="shared" si="53"/>
        <v>0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5" type="noConversion"/>
  <pageMargins left="0.75" right="0.75" top="1" bottom="1" header="0.5" footer="0.5"/>
  <pageSetup scale="66" orientation="portrait" r:id="rId1"/>
  <headerFooter alignWithMargins="0"/>
  <rowBreaks count="4" manualBreakCount="4">
    <brk id="72" max="16383" man="1"/>
    <brk id="150" max="10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="110" zoomScaleNormal="100" zoomScaleSheetLayoutView="110" workbookViewId="0">
      <pane xSplit="2" ySplit="4" topLeftCell="C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0" t="str">
        <f>muni&amp; " - "&amp;S71E&amp; " - "&amp;date</f>
        <v>NW385 Ramotshere Moiloa - Table C6 Monthly Budget Statement - Financial Position - M10 April</v>
      </c>
      <c r="B1" s="1000"/>
      <c r="C1" s="1000"/>
      <c r="D1" s="1000"/>
      <c r="E1" s="1000"/>
      <c r="F1" s="1000"/>
      <c r="G1" s="1000"/>
    </row>
    <row r="2" spans="1:8" x14ac:dyDescent="0.25">
      <c r="A2" s="985" t="str">
        <f>desc</f>
        <v>Description</v>
      </c>
      <c r="B2" s="978" t="str">
        <f>head27</f>
        <v>Ref</v>
      </c>
      <c r="C2" s="141" t="str">
        <f>Head1</f>
        <v>2014/15</v>
      </c>
      <c r="D2" s="246" t="str">
        <f>Head2</f>
        <v>Budget Year 2015/16</v>
      </c>
      <c r="E2" s="230"/>
      <c r="F2" s="230"/>
      <c r="G2" s="231"/>
    </row>
    <row r="3" spans="1:8" ht="25.5" x14ac:dyDescent="0.25">
      <c r="A3" s="986"/>
      <c r="B3" s="989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18146493</v>
      </c>
      <c r="D7" s="767">
        <v>42236878.571542263</v>
      </c>
      <c r="E7" s="747">
        <v>42448062.964399971</v>
      </c>
      <c r="F7" s="747">
        <v>17052339</v>
      </c>
      <c r="G7" s="749"/>
    </row>
    <row r="8" spans="1:8" ht="12.75" customHeight="1" x14ac:dyDescent="0.25">
      <c r="A8" s="40" t="s">
        <v>732</v>
      </c>
      <c r="B8" s="170"/>
      <c r="C8" s="762">
        <v>1981102</v>
      </c>
      <c r="D8" s="767">
        <v>27289517</v>
      </c>
      <c r="E8" s="747">
        <v>27425964.585000001</v>
      </c>
      <c r="F8" s="747">
        <v>10264148</v>
      </c>
      <c r="G8" s="749"/>
    </row>
    <row r="9" spans="1:8" ht="12.75" customHeight="1" x14ac:dyDescent="0.25">
      <c r="A9" s="40" t="s">
        <v>730</v>
      </c>
      <c r="B9" s="170"/>
      <c r="C9" s="762">
        <v>14293313</v>
      </c>
      <c r="D9" s="767">
        <v>42855315</v>
      </c>
      <c r="E9" s="747">
        <v>54451337.5</v>
      </c>
      <c r="F9" s="747">
        <v>114575806</v>
      </c>
      <c r="G9" s="749"/>
    </row>
    <row r="10" spans="1:8" ht="12.75" customHeight="1" x14ac:dyDescent="0.25">
      <c r="A10" s="40" t="s">
        <v>731</v>
      </c>
      <c r="B10" s="170"/>
      <c r="C10" s="762">
        <v>6470</v>
      </c>
      <c r="D10" s="767">
        <v>4112038.1999999997</v>
      </c>
      <c r="E10" s="747">
        <v>4132598.3909999998</v>
      </c>
      <c r="F10" s="747">
        <v>962335</v>
      </c>
      <c r="G10" s="749"/>
    </row>
    <row r="11" spans="1:8" ht="12.75" customHeight="1" x14ac:dyDescent="0.25">
      <c r="A11" s="40" t="s">
        <v>940</v>
      </c>
      <c r="B11" s="170"/>
      <c r="C11" s="762">
        <v>3832563</v>
      </c>
      <c r="D11" s="767">
        <v>34253050.939999998</v>
      </c>
      <c r="E11" s="747">
        <v>34424316.194699995</v>
      </c>
      <c r="F11" s="747"/>
      <c r="G11" s="749"/>
    </row>
    <row r="12" spans="1:8" ht="12.75" customHeight="1" x14ac:dyDescent="0.25">
      <c r="A12" s="40" t="s">
        <v>729</v>
      </c>
      <c r="B12" s="170"/>
      <c r="C12" s="762">
        <v>35792082</v>
      </c>
      <c r="D12" s="767">
        <v>39463307.829999998</v>
      </c>
      <c r="E12" s="747">
        <v>39660624.369149998</v>
      </c>
      <c r="F12" s="747">
        <v>49339434</v>
      </c>
      <c r="G12" s="749"/>
    </row>
    <row r="13" spans="1:8" ht="12.75" customHeight="1" x14ac:dyDescent="0.25">
      <c r="A13" s="93" t="s">
        <v>778</v>
      </c>
      <c r="B13" s="234"/>
      <c r="C13" s="244">
        <f>SUM(C7:C12)</f>
        <v>74052023</v>
      </c>
      <c r="D13" s="261">
        <f>SUM(D7:D12)</f>
        <v>190210107.54154223</v>
      </c>
      <c r="E13" s="74">
        <f>SUM(E7:E12)</f>
        <v>202542904.00424999</v>
      </c>
      <c r="F13" s="74">
        <f>SUM(F7:F12)</f>
        <v>192194062</v>
      </c>
      <c r="G13" s="146">
        <f>SUM(G7:G12)</f>
        <v>0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/>
      <c r="D16" s="767"/>
      <c r="E16" s="747">
        <v>0</v>
      </c>
      <c r="F16" s="747"/>
      <c r="G16" s="749"/>
      <c r="H16" s="40"/>
    </row>
    <row r="17" spans="1:8" ht="12.75" customHeight="1" x14ac:dyDescent="0.25">
      <c r="A17" s="40" t="s">
        <v>682</v>
      </c>
      <c r="B17" s="170"/>
      <c r="C17" s="762"/>
      <c r="D17" s="767">
        <v>2054993</v>
      </c>
      <c r="E17" s="747">
        <v>2065267.9650000001</v>
      </c>
      <c r="F17" s="747">
        <v>19895357</v>
      </c>
      <c r="G17" s="749"/>
      <c r="H17" s="40"/>
    </row>
    <row r="18" spans="1:8" ht="12.75" customHeight="1" x14ac:dyDescent="0.25">
      <c r="A18" s="40" t="s">
        <v>727</v>
      </c>
      <c r="B18" s="170"/>
      <c r="C18" s="762">
        <v>18844697</v>
      </c>
      <c r="D18" s="767">
        <v>8704000</v>
      </c>
      <c r="E18" s="747">
        <v>8747520</v>
      </c>
      <c r="F18" s="747">
        <v>1025935</v>
      </c>
      <c r="G18" s="749"/>
      <c r="H18" s="40"/>
    </row>
    <row r="19" spans="1:8" ht="12.75" customHeight="1" x14ac:dyDescent="0.25">
      <c r="A19" s="40" t="s">
        <v>366</v>
      </c>
      <c r="B19" s="170"/>
      <c r="C19" s="762"/>
      <c r="D19" s="767"/>
      <c r="E19" s="747">
        <v>0</v>
      </c>
      <c r="F19" s="747"/>
      <c r="G19" s="749"/>
      <c r="H19" s="40"/>
    </row>
    <row r="20" spans="1:8" ht="12.75" customHeight="1" x14ac:dyDescent="0.25">
      <c r="A20" s="40" t="s">
        <v>726</v>
      </c>
      <c r="B20" s="170"/>
      <c r="C20" s="762">
        <f>547040055+404550</f>
        <v>547444605</v>
      </c>
      <c r="D20" s="767">
        <v>526746330.59095997</v>
      </c>
      <c r="E20" s="747">
        <v>529380062.24391478</v>
      </c>
      <c r="F20" s="747">
        <v>589685923</v>
      </c>
      <c r="G20" s="749"/>
    </row>
    <row r="21" spans="1:8" ht="12.75" customHeight="1" x14ac:dyDescent="0.25">
      <c r="A21" s="40" t="s">
        <v>861</v>
      </c>
      <c r="B21" s="170"/>
      <c r="C21" s="762"/>
      <c r="D21" s="767"/>
      <c r="E21" s="747">
        <v>0</v>
      </c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/>
      <c r="D22" s="767"/>
      <c r="E22" s="747">
        <v>0</v>
      </c>
      <c r="F22" s="747"/>
      <c r="G22" s="749"/>
      <c r="H22" s="40"/>
    </row>
    <row r="23" spans="1:8" ht="12.75" customHeight="1" x14ac:dyDescent="0.25">
      <c r="A23" s="40" t="s">
        <v>575</v>
      </c>
      <c r="B23" s="170"/>
      <c r="C23" s="762">
        <v>3469559</v>
      </c>
      <c r="D23" s="767">
        <v>800001</v>
      </c>
      <c r="E23" s="747">
        <v>804001.005</v>
      </c>
      <c r="F23" s="747">
        <v>573765</v>
      </c>
      <c r="G23" s="749"/>
      <c r="H23" s="40"/>
    </row>
    <row r="24" spans="1:8" ht="12.75" customHeight="1" x14ac:dyDescent="0.25">
      <c r="A24" s="40" t="s">
        <v>949</v>
      </c>
      <c r="B24" s="170"/>
      <c r="C24" s="762"/>
      <c r="D24" s="767"/>
      <c r="E24" s="747">
        <v>0</v>
      </c>
      <c r="F24" s="747"/>
      <c r="G24" s="749"/>
      <c r="H24" s="40"/>
    </row>
    <row r="25" spans="1:8" ht="12.75" customHeight="1" x14ac:dyDescent="0.25">
      <c r="A25" s="93" t="s">
        <v>777</v>
      </c>
      <c r="B25" s="234"/>
      <c r="C25" s="244">
        <f>SUM(C16:C24)</f>
        <v>569758861</v>
      </c>
      <c r="D25" s="261">
        <f>SUM(D16:D24)</f>
        <v>538305324.59096003</v>
      </c>
      <c r="E25" s="74">
        <f>SUM(E16:E24)</f>
        <v>540996851.21391475</v>
      </c>
      <c r="F25" s="74">
        <f>SUM(F16:F24)</f>
        <v>611180980</v>
      </c>
      <c r="G25" s="146">
        <f>SUM(G16:G24)</f>
        <v>0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643810884</v>
      </c>
      <c r="D26" s="261">
        <f>D13+D25</f>
        <v>728515432.13250232</v>
      </c>
      <c r="E26" s="74">
        <f>E13+E25</f>
        <v>743539755.21816468</v>
      </c>
      <c r="F26" s="74">
        <f>F13+F25</f>
        <v>803375042</v>
      </c>
      <c r="G26" s="146">
        <f>G13+G25</f>
        <v>0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/>
      <c r="D30" s="767"/>
      <c r="E30" s="747">
        <v>0</v>
      </c>
      <c r="F30" s="747"/>
      <c r="G30" s="749"/>
    </row>
    <row r="31" spans="1:8" ht="12.75" customHeight="1" x14ac:dyDescent="0.25">
      <c r="A31" s="40" t="s">
        <v>931</v>
      </c>
      <c r="B31" s="170"/>
      <c r="C31" s="762"/>
      <c r="D31" s="767">
        <v>1812130.9700000002</v>
      </c>
      <c r="E31" s="747">
        <v>1821191.6248500003</v>
      </c>
      <c r="F31" s="747"/>
      <c r="G31" s="749"/>
    </row>
    <row r="32" spans="1:8" ht="12.75" customHeight="1" x14ac:dyDescent="0.25">
      <c r="A32" s="40" t="s">
        <v>725</v>
      </c>
      <c r="B32" s="170"/>
      <c r="C32" s="762">
        <v>1357035</v>
      </c>
      <c r="D32" s="767">
        <v>14947058.75</v>
      </c>
      <c r="E32" s="747">
        <v>15021794.043749999</v>
      </c>
      <c r="F32" s="747">
        <v>12733997</v>
      </c>
      <c r="G32" s="749"/>
    </row>
    <row r="33" spans="1:7" ht="12.75" customHeight="1" x14ac:dyDescent="0.25">
      <c r="A33" s="40" t="s">
        <v>941</v>
      </c>
      <c r="B33" s="170"/>
      <c r="C33" s="762">
        <f>46485619+26859918+7728678+756064+845156</f>
        <v>82675435</v>
      </c>
      <c r="D33" s="767">
        <v>31873578.609999999</v>
      </c>
      <c r="E33" s="747">
        <v>32032946.503050003</v>
      </c>
      <c r="F33" s="747">
        <v>85863474</v>
      </c>
      <c r="G33" s="749"/>
    </row>
    <row r="34" spans="1:7" ht="12.75" customHeight="1" x14ac:dyDescent="0.25">
      <c r="A34" s="40" t="s">
        <v>684</v>
      </c>
      <c r="B34" s="170"/>
      <c r="C34" s="762">
        <f>953419+816000</f>
        <v>1769419</v>
      </c>
      <c r="D34" s="767">
        <v>61838460.5</v>
      </c>
      <c r="E34" s="747">
        <v>62147652.802500002</v>
      </c>
      <c r="F34" s="747">
        <v>118110920</v>
      </c>
      <c r="G34" s="749"/>
    </row>
    <row r="35" spans="1:7" ht="12.75" customHeight="1" x14ac:dyDescent="0.25">
      <c r="A35" s="93" t="s">
        <v>567</v>
      </c>
      <c r="B35" s="234"/>
      <c r="C35" s="244">
        <f>SUM(C30:C34)</f>
        <v>85801889</v>
      </c>
      <c r="D35" s="261">
        <f>SUM(D30:D34)</f>
        <v>110471228.83</v>
      </c>
      <c r="E35" s="74">
        <f>SUM(E30:E34)</f>
        <v>111023584.97415</v>
      </c>
      <c r="F35" s="74">
        <f>SUM(F30:F34)</f>
        <v>216708391</v>
      </c>
      <c r="G35" s="146">
        <f>SUM(G30:G34)</f>
        <v>0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5557946</v>
      </c>
      <c r="D38" s="767">
        <v>6285164</v>
      </c>
      <c r="E38" s="747">
        <v>6316589.8200000003</v>
      </c>
      <c r="F38" s="747"/>
      <c r="G38" s="749"/>
    </row>
    <row r="39" spans="1:7" ht="12.75" customHeight="1" x14ac:dyDescent="0.25">
      <c r="A39" s="40" t="s">
        <v>684</v>
      </c>
      <c r="B39" s="170"/>
      <c r="C39" s="762">
        <v>51735000</v>
      </c>
      <c r="D39" s="767">
        <v>42673400.000000007</v>
      </c>
      <c r="E39" s="747">
        <v>42886767.000000007</v>
      </c>
      <c r="F39" s="747">
        <v>52704946</v>
      </c>
      <c r="G39" s="749"/>
    </row>
    <row r="40" spans="1:7" ht="12.75" customHeight="1" x14ac:dyDescent="0.25">
      <c r="A40" s="93" t="s">
        <v>566</v>
      </c>
      <c r="B40" s="234"/>
      <c r="C40" s="244">
        <f>SUM(C38:C39)</f>
        <v>57292946</v>
      </c>
      <c r="D40" s="261">
        <f>SUM(D38:D39)</f>
        <v>48958564.000000007</v>
      </c>
      <c r="E40" s="74">
        <f>SUM(E38:E39)</f>
        <v>49203356.820000008</v>
      </c>
      <c r="F40" s="74">
        <f>SUM(F38:F39)</f>
        <v>52704946</v>
      </c>
      <c r="G40" s="146">
        <f>SUM(G38:G39)</f>
        <v>0</v>
      </c>
    </row>
    <row r="41" spans="1:7" ht="12.75" customHeight="1" x14ac:dyDescent="0.25">
      <c r="A41" s="93" t="s">
        <v>1</v>
      </c>
      <c r="B41" s="234"/>
      <c r="C41" s="244">
        <f>C35+C40</f>
        <v>143094835</v>
      </c>
      <c r="D41" s="261">
        <f>D35+D40</f>
        <v>159429792.83000001</v>
      </c>
      <c r="E41" s="74">
        <f>E35+E40</f>
        <v>160226941.79414999</v>
      </c>
      <c r="F41" s="74">
        <f>F35+F40</f>
        <v>269413337</v>
      </c>
      <c r="G41" s="146">
        <f>G35+G40</f>
        <v>0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500716049</v>
      </c>
      <c r="D43" s="266">
        <f>D26-D41</f>
        <v>569085639.30250227</v>
      </c>
      <c r="E43" s="77">
        <f>E26-E41</f>
        <v>583312813.42401469</v>
      </c>
      <c r="F43" s="77">
        <f>F26-F41</f>
        <v>533961705</v>
      </c>
      <c r="G43" s="235">
        <f>G26-G41</f>
        <v>0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500716049</v>
      </c>
      <c r="D46" s="767">
        <v>569085639.30250227</v>
      </c>
      <c r="E46" s="747">
        <v>465699529.26244992</v>
      </c>
      <c r="F46" s="747">
        <v>533961705</v>
      </c>
      <c r="G46" s="749"/>
    </row>
    <row r="47" spans="1:7" ht="12.75" customHeight="1" x14ac:dyDescent="0.25">
      <c r="A47" s="40" t="s">
        <v>1068</v>
      </c>
      <c r="B47" s="170"/>
      <c r="C47" s="762"/>
      <c r="D47" s="767"/>
      <c r="E47" s="747">
        <v>571931067.49901474</v>
      </c>
      <c r="F47" s="747"/>
      <c r="G47" s="749"/>
    </row>
    <row r="48" spans="1:7" ht="12.75" customHeight="1" x14ac:dyDescent="0.25">
      <c r="A48" s="54" t="s">
        <v>772</v>
      </c>
      <c r="B48" s="237">
        <v>2</v>
      </c>
      <c r="C48" s="113">
        <f>SUM(C46:C47)</f>
        <v>500716049</v>
      </c>
      <c r="D48" s="272">
        <f>SUM(D46:D47)</f>
        <v>569085639.30250227</v>
      </c>
      <c r="E48" s="56">
        <f>SUM(E46:E47)</f>
        <v>1037630596.7614646</v>
      </c>
      <c r="F48" s="56">
        <f>SUM(F46:F47)</f>
        <v>533961705</v>
      </c>
      <c r="G48" s="236">
        <f>SUM(G46:G47)</f>
        <v>0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999" t="s">
        <v>179</v>
      </c>
      <c r="B50" s="999"/>
      <c r="C50" s="999"/>
      <c r="D50" s="999"/>
      <c r="E50" s="999"/>
      <c r="F50" s="999"/>
      <c r="G50" s="999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-454317783.33744991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5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view="pageBreakPreview" zoomScaleNormal="100" zoomScaleSheetLayoutView="100" workbookViewId="0">
      <pane xSplit="2" ySplit="4" topLeftCell="C1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"&amp;S71F&amp; " - "&amp;date</f>
        <v>NW385 Ramotshere Moiloa - Table C7 Monthly Budget Statement - Cash Flow 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1279</v>
      </c>
      <c r="B7" s="170"/>
      <c r="C7" s="762">
        <v>19436203</v>
      </c>
      <c r="D7" s="759">
        <v>30836372.271249965</v>
      </c>
      <c r="E7" s="747">
        <v>24564042</v>
      </c>
      <c r="F7" s="747">
        <v>3250263</v>
      </c>
      <c r="G7" s="747">
        <f>16133448+F7</f>
        <v>19383711</v>
      </c>
      <c r="H7" s="759">
        <f>(D7/2)</f>
        <v>15418186.135624982</v>
      </c>
      <c r="I7" s="45">
        <f>G7-H7</f>
        <v>3965524.8643750176</v>
      </c>
      <c r="J7" s="333">
        <f>IF(I7=0,"",I7/H7)</f>
        <v>0.25719788498417123</v>
      </c>
      <c r="K7" s="749"/>
    </row>
    <row r="8" spans="1:11" ht="12.75" customHeight="1" x14ac:dyDescent="0.25">
      <c r="A8" s="521" t="s">
        <v>1130</v>
      </c>
      <c r="B8" s="170"/>
      <c r="C8" s="762">
        <v>60789864</v>
      </c>
      <c r="D8" s="759">
        <v>62447438.75</v>
      </c>
      <c r="E8" s="747">
        <v>54336632</v>
      </c>
      <c r="F8" s="747">
        <v>4039239</v>
      </c>
      <c r="G8" s="747">
        <f>34010347+F8</f>
        <v>38049586</v>
      </c>
      <c r="H8" s="759">
        <f t="shared" ref="H8:H12" si="0">(D8/2)</f>
        <v>31223719.375</v>
      </c>
      <c r="I8" s="45">
        <f t="shared" ref="I8:I9" si="1">G8-H8</f>
        <v>6825866.625</v>
      </c>
      <c r="J8" s="333">
        <f t="shared" ref="J8:J10" si="2">IF(I8=0,"",I8/H8)</f>
        <v>0.21861157996652025</v>
      </c>
      <c r="K8" s="749"/>
    </row>
    <row r="9" spans="1:11" ht="12.75" customHeight="1" x14ac:dyDescent="0.25">
      <c r="A9" s="521" t="s">
        <v>561</v>
      </c>
      <c r="B9" s="170"/>
      <c r="C9" s="762">
        <v>14377305</v>
      </c>
      <c r="D9" s="759">
        <v>11018893.449643519</v>
      </c>
      <c r="E9" s="747">
        <v>7580000</v>
      </c>
      <c r="F9" s="747">
        <f>[6]Sheet1!$O$15+[6]Sheet1!$O$17+[6]Sheet1!$O$19+[6]Sheet1!$O$20+[6]Sheet1!$O$23</f>
        <v>1583560</v>
      </c>
      <c r="G9" s="747">
        <f>90975380.87+F9</f>
        <v>92558940.870000005</v>
      </c>
      <c r="H9" s="759">
        <f t="shared" si="0"/>
        <v>5509446.7248217594</v>
      </c>
      <c r="I9" s="45">
        <f t="shared" si="1"/>
        <v>87049494.145178244</v>
      </c>
      <c r="J9" s="333">
        <f t="shared" si="2"/>
        <v>15.800042816095013</v>
      </c>
      <c r="K9" s="749"/>
    </row>
    <row r="10" spans="1:11" ht="12.75" customHeight="1" x14ac:dyDescent="0.25">
      <c r="A10" s="87" t="s">
        <v>843</v>
      </c>
      <c r="B10" s="172"/>
      <c r="C10" s="762">
        <f>102166000+934000+718889+1600000+2050068+1464000+1547230</f>
        <v>110480187</v>
      </c>
      <c r="D10" s="759">
        <v>145031000</v>
      </c>
      <c r="E10" s="747">
        <v>142831000</v>
      </c>
      <c r="F10" s="747"/>
      <c r="G10" s="747">
        <f>91895718+F10</f>
        <v>91895718</v>
      </c>
      <c r="H10" s="759">
        <f t="shared" si="0"/>
        <v>72515500</v>
      </c>
      <c r="I10" s="45">
        <f>G10-H10</f>
        <v>19380218</v>
      </c>
      <c r="J10" s="333">
        <f t="shared" si="2"/>
        <v>0.26725621418869067</v>
      </c>
      <c r="K10" s="749"/>
    </row>
    <row r="11" spans="1:11" ht="12.75" customHeight="1" x14ac:dyDescent="0.25">
      <c r="A11" s="87" t="s">
        <v>844</v>
      </c>
      <c r="B11" s="172"/>
      <c r="C11" s="762">
        <f>45818272+3575780+3993040+18805728+1506960+5000000-954000+239000</f>
        <v>77984780</v>
      </c>
      <c r="D11" s="759">
        <v>80087000</v>
      </c>
      <c r="E11" s="747">
        <v>67694000</v>
      </c>
      <c r="F11" s="747"/>
      <c r="G11" s="747">
        <v>43182000</v>
      </c>
      <c r="H11" s="759">
        <f t="shared" si="0"/>
        <v>40043500</v>
      </c>
      <c r="I11" s="45">
        <f>G11-H11</f>
        <v>3138500</v>
      </c>
      <c r="J11" s="333">
        <f t="shared" ref="J11:J18" si="3">IF(I11=0,"",I11/H11)</f>
        <v>7.8377264724611984E-2</v>
      </c>
      <c r="K11" s="749"/>
    </row>
    <row r="12" spans="1:11" ht="12.75" customHeight="1" x14ac:dyDescent="0.25">
      <c r="A12" s="87" t="s">
        <v>1047</v>
      </c>
      <c r="B12" s="172"/>
      <c r="C12" s="762">
        <v>741056</v>
      </c>
      <c r="D12" s="759">
        <v>3744271</v>
      </c>
      <c r="E12" s="747">
        <v>984000</v>
      </c>
      <c r="F12" s="747"/>
      <c r="G12" s="747">
        <v>653491.1</v>
      </c>
      <c r="H12" s="759">
        <f t="shared" si="0"/>
        <v>1872135.5</v>
      </c>
      <c r="I12" s="45">
        <f>G12-H12</f>
        <v>-1218644.3999999999</v>
      </c>
      <c r="J12" s="333">
        <f t="shared" si="3"/>
        <v>-0.65093813989425442</v>
      </c>
      <c r="K12" s="749"/>
    </row>
    <row r="13" spans="1:11" ht="12.75" customHeight="1" x14ac:dyDescent="0.25">
      <c r="A13" s="87" t="s">
        <v>813</v>
      </c>
      <c r="B13" s="172"/>
      <c r="C13" s="762"/>
      <c r="D13" s="759"/>
      <c r="E13" s="747"/>
      <c r="F13" s="747"/>
      <c r="G13" s="747">
        <v>0</v>
      </c>
      <c r="H13" s="759">
        <f t="shared" ref="H13" si="4">(D13/3)</f>
        <v>0</v>
      </c>
      <c r="I13" s="45">
        <f>G13-H13</f>
        <v>0</v>
      </c>
      <c r="J13" s="333" t="str">
        <f t="shared" si="3"/>
        <v/>
      </c>
      <c r="K13" s="749"/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>
        <v>-222565653</v>
      </c>
      <c r="D15" s="759">
        <v>-228162454.83395123</v>
      </c>
      <c r="E15" s="747">
        <v>-272350249</v>
      </c>
      <c r="F15" s="747">
        <f>-([6]Sheet1!$O$37+[6]Sheet1!$O$38+[6]Sheet1!$O$41+[6]Sheet1!$O$43+[6]Sheet1!$O$44+[6]Sheet1!$O$46+[6]Sheet1!$O$47)</f>
        <v>-21203332</v>
      </c>
      <c r="G15" s="747">
        <f>-217693024.322004+F15</f>
        <v>-238896356.32200399</v>
      </c>
      <c r="H15" s="759">
        <v>-114081227.41697562</v>
      </c>
      <c r="I15" s="45">
        <f>H15-G15</f>
        <v>124815128.90502837</v>
      </c>
      <c r="J15" s="333">
        <f t="shared" si="3"/>
        <v>-1.0940899894845935</v>
      </c>
      <c r="K15" s="749"/>
    </row>
    <row r="16" spans="1:11" ht="12.75" customHeight="1" x14ac:dyDescent="0.25">
      <c r="A16" s="87" t="s">
        <v>560</v>
      </c>
      <c r="B16" s="172"/>
      <c r="C16" s="762">
        <v>-2014375</v>
      </c>
      <c r="D16" s="759">
        <v>-1284984.6954000003</v>
      </c>
      <c r="E16" s="747">
        <v>-1284984.6954000003</v>
      </c>
      <c r="F16" s="747"/>
      <c r="G16" s="747">
        <v>0</v>
      </c>
      <c r="H16" s="759">
        <v>-642492.34770000016</v>
      </c>
      <c r="I16" s="45">
        <f>H16-G16</f>
        <v>-642492.34770000016</v>
      </c>
      <c r="J16" s="333">
        <f t="shared" si="3"/>
        <v>1</v>
      </c>
      <c r="K16" s="749"/>
    </row>
    <row r="17" spans="1:11" ht="12.75" customHeight="1" x14ac:dyDescent="0.25">
      <c r="A17" s="87" t="s">
        <v>73</v>
      </c>
      <c r="B17" s="172"/>
      <c r="C17" s="762"/>
      <c r="D17" s="759">
        <v>-9655000</v>
      </c>
      <c r="E17" s="747">
        <v>-9655000</v>
      </c>
      <c r="F17" s="747"/>
      <c r="G17" s="747">
        <v>-1432530</v>
      </c>
      <c r="H17" s="759">
        <v>-642492.34770000016</v>
      </c>
      <c r="I17" s="45">
        <f>H17-G17</f>
        <v>790037.65229999984</v>
      </c>
      <c r="J17" s="333">
        <f t="shared" si="3"/>
        <v>-1.2296452325513039</v>
      </c>
      <c r="K17" s="749"/>
    </row>
    <row r="18" spans="1:11" ht="12.75" customHeight="1" x14ac:dyDescent="0.25">
      <c r="A18" s="93" t="s">
        <v>1051</v>
      </c>
      <c r="B18" s="234"/>
      <c r="C18" s="244">
        <f t="shared" ref="C18:H18" si="5">SUM(C7:C13)+SUM(C15:C17)</f>
        <v>59229367</v>
      </c>
      <c r="D18" s="75">
        <f t="shared" si="5"/>
        <v>94062535.941542268</v>
      </c>
      <c r="E18" s="74">
        <f t="shared" si="5"/>
        <v>14699440.3046</v>
      </c>
      <c r="F18" s="74">
        <f t="shared" si="5"/>
        <v>-12330270</v>
      </c>
      <c r="G18" s="74">
        <f t="shared" si="5"/>
        <v>45394560.647996038</v>
      </c>
      <c r="H18" s="74">
        <f t="shared" si="5"/>
        <v>51216275.623071134</v>
      </c>
      <c r="I18" s="74">
        <f>H18-G18</f>
        <v>5821714.9750750959</v>
      </c>
      <c r="J18" s="334">
        <f t="shared" si="3"/>
        <v>0.11366923705894416</v>
      </c>
      <c r="K18" s="146">
        <f>SUM(K7:K13)+SUM(K15:K17)</f>
        <v>0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/>
      <c r="D22" s="759"/>
      <c r="E22" s="747"/>
      <c r="F22" s="747"/>
      <c r="G22" s="747"/>
      <c r="H22" s="759"/>
      <c r="I22" s="45">
        <f>G22-H22</f>
        <v>0</v>
      </c>
      <c r="J22" s="333" t="str">
        <f t="shared" ref="J22:J28" si="6">IF(I22=0,"",I22/H22)</f>
        <v/>
      </c>
      <c r="K22" s="749"/>
    </row>
    <row r="23" spans="1:11" ht="12.75" customHeight="1" x14ac:dyDescent="0.25">
      <c r="A23" s="40" t="s">
        <v>546</v>
      </c>
      <c r="B23" s="170"/>
      <c r="C23" s="762"/>
      <c r="D23" s="759">
        <v>46570222.400000006</v>
      </c>
      <c r="E23" s="747"/>
      <c r="F23" s="747"/>
      <c r="G23" s="747"/>
      <c r="H23" s="759">
        <v>23285111.200000003</v>
      </c>
      <c r="I23" s="45">
        <f>G23-H23</f>
        <v>-23285111.200000003</v>
      </c>
      <c r="J23" s="333">
        <f t="shared" si="6"/>
        <v>-1</v>
      </c>
      <c r="K23" s="749"/>
    </row>
    <row r="24" spans="1:11" ht="12.75" customHeight="1" x14ac:dyDescent="0.25">
      <c r="A24" s="40" t="s">
        <v>1049</v>
      </c>
      <c r="B24" s="176"/>
      <c r="C24" s="762"/>
      <c r="D24" s="759"/>
      <c r="E24" s="747"/>
      <c r="F24" s="747"/>
      <c r="G24" s="747"/>
      <c r="H24" s="759"/>
      <c r="I24" s="45">
        <f>G24-H24</f>
        <v>0</v>
      </c>
      <c r="J24" s="333" t="str">
        <f t="shared" si="6"/>
        <v/>
      </c>
      <c r="K24" s="749"/>
    </row>
    <row r="25" spans="1:11" ht="12.75" customHeight="1" x14ac:dyDescent="0.25">
      <c r="A25" s="40" t="s">
        <v>1050</v>
      </c>
      <c r="B25" s="170"/>
      <c r="C25" s="762"/>
      <c r="D25" s="759"/>
      <c r="E25" s="747"/>
      <c r="F25" s="747"/>
      <c r="G25" s="747"/>
      <c r="H25" s="759"/>
      <c r="I25" s="45">
        <f>G25-H25</f>
        <v>0</v>
      </c>
      <c r="J25" s="333" t="str">
        <f t="shared" si="6"/>
        <v/>
      </c>
      <c r="K25" s="749"/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>
        <f>-39191347+-436750</f>
        <v>-39628097</v>
      </c>
      <c r="D27" s="759">
        <v>-105703023.12096</v>
      </c>
      <c r="E27" s="747">
        <v>-67694000</v>
      </c>
      <c r="F27" s="747">
        <v>-6338423</v>
      </c>
      <c r="G27" s="747">
        <f>-30019294+F27</f>
        <v>-36357717</v>
      </c>
      <c r="H27" s="759">
        <v>-52851511.560479999</v>
      </c>
      <c r="I27" s="45">
        <f>H27-G27</f>
        <v>-16493794.560479999</v>
      </c>
      <c r="J27" s="333">
        <f t="shared" si="6"/>
        <v>0.31207801013610598</v>
      </c>
      <c r="K27" s="749"/>
    </row>
    <row r="28" spans="1:11" ht="12.75" customHeight="1" x14ac:dyDescent="0.25">
      <c r="A28" s="93" t="s">
        <v>1052</v>
      </c>
      <c r="B28" s="234"/>
      <c r="C28" s="549">
        <f t="shared" ref="C28:H28" si="7">SUM(C22:C25)+C27</f>
        <v>-39628097</v>
      </c>
      <c r="D28" s="75">
        <f>SUM(D22:D25)+D27</f>
        <v>-59132800.720959991</v>
      </c>
      <c r="E28" s="74">
        <f t="shared" si="7"/>
        <v>-67694000</v>
      </c>
      <c r="F28" s="74">
        <f t="shared" si="7"/>
        <v>-6338423</v>
      </c>
      <c r="G28" s="74">
        <f t="shared" si="7"/>
        <v>-36357717</v>
      </c>
      <c r="H28" s="74">
        <f t="shared" si="7"/>
        <v>-29566400.360479996</v>
      </c>
      <c r="I28" s="74">
        <f>H28-G28</f>
        <v>6791316.6395200044</v>
      </c>
      <c r="J28" s="334">
        <f t="shared" si="6"/>
        <v>-0.22969710741648602</v>
      </c>
      <c r="K28" s="146">
        <f>SUM(K22:K25)+K27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ref="J32:J37" si="8">IF(I32=0,"",I32/H32)</f>
        <v/>
      </c>
      <c r="K32" s="749"/>
    </row>
    <row r="33" spans="1:11" ht="12.75" customHeight="1" x14ac:dyDescent="0.25">
      <c r="A33" s="40" t="s">
        <v>1125</v>
      </c>
      <c r="B33" s="170"/>
      <c r="C33" s="762"/>
      <c r="D33" s="759"/>
      <c r="E33" s="747"/>
      <c r="F33" s="747"/>
      <c r="G33" s="747"/>
      <c r="H33" s="747"/>
      <c r="I33" s="45">
        <f>G33-H33</f>
        <v>0</v>
      </c>
      <c r="J33" s="333" t="str">
        <f t="shared" si="8"/>
        <v/>
      </c>
      <c r="K33" s="749"/>
    </row>
    <row r="34" spans="1:11" ht="12.75" customHeight="1" x14ac:dyDescent="0.25">
      <c r="A34" s="40" t="s">
        <v>74</v>
      </c>
      <c r="B34" s="170"/>
      <c r="C34" s="762"/>
      <c r="D34" s="759"/>
      <c r="E34" s="747">
        <v>400000</v>
      </c>
      <c r="F34" s="747"/>
      <c r="G34" s="747"/>
      <c r="H34" s="747"/>
      <c r="I34" s="45">
        <f>G34-H34</f>
        <v>0</v>
      </c>
      <c r="J34" s="333" t="str">
        <f t="shared" si="8"/>
        <v/>
      </c>
      <c r="K34" s="749"/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8"/>
        <v/>
      </c>
      <c r="K35" s="145"/>
    </row>
    <row r="36" spans="1:11" ht="12.75" customHeight="1" x14ac:dyDescent="0.25">
      <c r="A36" s="40" t="s">
        <v>1064</v>
      </c>
      <c r="B36" s="170"/>
      <c r="C36" s="762">
        <f>-4509474+-776521</f>
        <v>-5285995</v>
      </c>
      <c r="D36" s="759">
        <v>-2200000</v>
      </c>
      <c r="E36" s="747"/>
      <c r="F36" s="747"/>
      <c r="G36" s="747"/>
      <c r="H36" s="759">
        <v>-1100000</v>
      </c>
      <c r="I36" s="45">
        <f>H36-G36</f>
        <v>-1100000</v>
      </c>
      <c r="J36" s="333">
        <f t="shared" si="8"/>
        <v>1</v>
      </c>
      <c r="K36" s="749">
        <f t="shared" ref="K36" si="9">F36+G36</f>
        <v>0</v>
      </c>
    </row>
    <row r="37" spans="1:11" ht="12.75" customHeight="1" x14ac:dyDescent="0.25">
      <c r="A37" s="93" t="s">
        <v>1053</v>
      </c>
      <c r="B37" s="234"/>
      <c r="C37" s="549">
        <f t="shared" ref="C37:H37" si="10">SUM(C32:C34)+C36</f>
        <v>-5285995</v>
      </c>
      <c r="D37" s="75">
        <f t="shared" si="10"/>
        <v>-2200000</v>
      </c>
      <c r="E37" s="74">
        <f t="shared" si="10"/>
        <v>400000</v>
      </c>
      <c r="F37" s="74">
        <f t="shared" si="10"/>
        <v>0</v>
      </c>
      <c r="G37" s="74">
        <f t="shared" si="10"/>
        <v>0</v>
      </c>
      <c r="H37" s="74">
        <f t="shared" si="10"/>
        <v>-1100000</v>
      </c>
      <c r="I37" s="74">
        <f>H37-G37</f>
        <v>-1100000</v>
      </c>
      <c r="J37" s="334">
        <f t="shared" si="8"/>
        <v>1</v>
      </c>
      <c r="K37" s="146">
        <f>SUM(K32:K34)+K36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11">C18+C28+C37</f>
        <v>14315275</v>
      </c>
      <c r="D39" s="52">
        <f t="shared" si="11"/>
        <v>32729735.220582277</v>
      </c>
      <c r="E39" s="51">
        <f t="shared" si="11"/>
        <v>-52594559.6954</v>
      </c>
      <c r="F39" s="51">
        <f t="shared" si="11"/>
        <v>-18668693</v>
      </c>
      <c r="G39" s="51">
        <f t="shared" si="11"/>
        <v>9036843.6479960382</v>
      </c>
      <c r="H39" s="51">
        <f t="shared" si="11"/>
        <v>20549875.262591138</v>
      </c>
      <c r="I39" s="330"/>
      <c r="J39" s="330"/>
      <c r="K39" s="195">
        <f>K18+K28+K37</f>
        <v>0</v>
      </c>
    </row>
    <row r="40" spans="1:11" ht="12.75" customHeight="1" x14ac:dyDescent="0.25">
      <c r="A40" s="40" t="s">
        <v>629</v>
      </c>
      <c r="B40" s="170"/>
      <c r="C40" s="762">
        <v>3830869</v>
      </c>
      <c r="D40" s="759">
        <v>18146493</v>
      </c>
      <c r="E40" s="747">
        <v>36657793.097995803</v>
      </c>
      <c r="F40" s="274"/>
      <c r="G40" s="747">
        <v>6988000</v>
      </c>
      <c r="H40" s="45">
        <f>IF(E40=0, D40, E40)</f>
        <v>36657793.097995803</v>
      </c>
      <c r="I40" s="274"/>
      <c r="J40" s="274"/>
      <c r="K40" s="388">
        <f>G40</f>
        <v>6988000</v>
      </c>
    </row>
    <row r="41" spans="1:11" ht="12.75" customHeight="1" x14ac:dyDescent="0.25">
      <c r="A41" s="130" t="s">
        <v>58</v>
      </c>
      <c r="B41" s="120"/>
      <c r="C41" s="226">
        <f>C39+C40</f>
        <v>18146144</v>
      </c>
      <c r="D41" s="117">
        <f>D39+D40</f>
        <v>50876228.220582277</v>
      </c>
      <c r="E41" s="116">
        <f>E39+E40</f>
        <v>-15936766.597404197</v>
      </c>
      <c r="F41" s="275"/>
      <c r="G41" s="116">
        <f>G39+G40</f>
        <v>16024843.647996038</v>
      </c>
      <c r="H41" s="116">
        <f>H39+H40</f>
        <v>57207668.360586941</v>
      </c>
      <c r="I41" s="275"/>
      <c r="J41" s="275"/>
      <c r="K41" s="191">
        <f>K39+K40</f>
        <v>6988000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 sqref="A1:E1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6" t="str">
        <f>muni&amp; " - "&amp;S71G&amp; " - "&amp;date</f>
        <v>NW385 Ramotshere Moiloa - Supporting Table SC1 Material variance explanations  - M10 April</v>
      </c>
      <c r="B1" s="996"/>
      <c r="C1" s="996"/>
      <c r="D1" s="996"/>
      <c r="E1" s="996"/>
    </row>
    <row r="2" spans="1:5" x14ac:dyDescent="0.25">
      <c r="A2" s="978" t="str">
        <f>head27</f>
        <v>Ref</v>
      </c>
      <c r="B2" s="985" t="str">
        <f>desc</f>
        <v>Description</v>
      </c>
      <c r="C2" s="270"/>
      <c r="D2" s="270"/>
      <c r="E2" s="276"/>
    </row>
    <row r="3" spans="1:5" x14ac:dyDescent="0.25">
      <c r="A3" s="989"/>
      <c r="B3" s="986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 t="s">
        <v>1098</v>
      </c>
      <c r="C6" s="762">
        <v>-5141973.0166666396</v>
      </c>
      <c r="D6" s="772" t="s">
        <v>1363</v>
      </c>
      <c r="E6" s="772" t="s">
        <v>1368</v>
      </c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 t="s">
        <v>540</v>
      </c>
      <c r="C11" s="762">
        <v>-13262587.079871546</v>
      </c>
      <c r="D11" s="772" t="s">
        <v>1362</v>
      </c>
      <c r="E11" s="772" t="s">
        <v>1367</v>
      </c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 t="s">
        <v>1361</v>
      </c>
      <c r="C16" s="762">
        <v>-17705818.560479999</v>
      </c>
      <c r="D16" s="772" t="s">
        <v>1362</v>
      </c>
      <c r="E16" s="772" t="s">
        <v>1367</v>
      </c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 t="s">
        <v>1365</v>
      </c>
      <c r="C21" s="762"/>
      <c r="D21" s="772" t="s">
        <v>1366</v>
      </c>
      <c r="E21" s="772" t="s">
        <v>1369</v>
      </c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 t="s">
        <v>1098</v>
      </c>
      <c r="C26" s="762"/>
      <c r="D26" s="772" t="s">
        <v>1371</v>
      </c>
      <c r="E26" s="772" t="s">
        <v>1370</v>
      </c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5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="96" zoomScaleNormal="100" zoomScaleSheetLayoutView="96" workbookViewId="0">
      <pane xSplit="3" ySplit="4" topLeftCell="D23" activePane="bottomRight" state="frozen"/>
      <selection pane="topRight"/>
      <selection pane="bottomLeft"/>
      <selection pane="bottomRight" sqref="A1:H1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6" t="str">
        <f>muni&amp; " - "&amp;S71H&amp; " - "&amp;Head57</f>
        <v>NW385 Ramotshere Moiloa - Supporting Table SC2 Monthly Budget Statement - performance indicators   - M10 April</v>
      </c>
      <c r="B1" s="996"/>
      <c r="C1" s="996"/>
      <c r="D1" s="996"/>
      <c r="E1" s="996"/>
      <c r="F1" s="996"/>
      <c r="G1" s="996"/>
      <c r="H1" s="996"/>
    </row>
    <row r="2" spans="1:11" ht="12.75" x14ac:dyDescent="0.25">
      <c r="A2" s="1001" t="s">
        <v>695</v>
      </c>
      <c r="B2" s="985" t="s">
        <v>924</v>
      </c>
      <c r="C2" s="978" t="str">
        <f>head27</f>
        <v>Ref</v>
      </c>
      <c r="D2" s="139" t="str">
        <f>Head1</f>
        <v>2014/15</v>
      </c>
      <c r="E2" s="246" t="str">
        <f>Head2</f>
        <v>Budget Year 2015/16</v>
      </c>
      <c r="F2" s="230"/>
      <c r="G2" s="230"/>
      <c r="H2" s="231"/>
    </row>
    <row r="3" spans="1:11" ht="25.5" x14ac:dyDescent="0.25">
      <c r="A3" s="1002"/>
      <c r="B3" s="986"/>
      <c r="C3" s="989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-1.1484407577616856E-2</v>
      </c>
      <c r="E7" s="283">
        <f>IF(ISERROR((E42+E44)/E45),0,((E42+E44)/E45))</f>
        <v>2.8400856212327651E-2</v>
      </c>
      <c r="F7" s="125">
        <f>IF(ISERROR((F42+F44)/F45),0,((F42+F44)/F45))</f>
        <v>9.1855530239591546E-2</v>
      </c>
      <c r="G7" s="125">
        <f>IF(ISERROR((G42+G44)/G45),0,((G42+G44)/G45))</f>
        <v>5.7857787764100631E-3</v>
      </c>
      <c r="H7" s="277">
        <f>IF(ISERROR((H42+H44)/H45),0,((H42+H44)/H45))</f>
        <v>0</v>
      </c>
    </row>
    <row r="8" spans="1:11" ht="30" customHeight="1" x14ac:dyDescent="0.25">
      <c r="A8" s="127" t="s">
        <v>1229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0.17621440570202296</v>
      </c>
      <c r="E10" s="283">
        <f>IF(ISERROR(E48/E49),0,(E48/E49))</f>
        <v>7.0237009721401775E-2</v>
      </c>
      <c r="F10" s="125">
        <f>IF(ISERROR(F48/F49),0,(F48/F49))</f>
        <v>3.8713900759361125E-2</v>
      </c>
      <c r="G10" s="125">
        <f>IF(ISERROR(G48/G49),0,(G48/G49))</f>
        <v>0.16080455432660662</v>
      </c>
      <c r="H10" s="277">
        <f>IF(ISERROR(H48/H49),0,(H48/H49))</f>
        <v>0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1.1044320161906368E-2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1230</v>
      </c>
      <c r="B13" s="124" t="s">
        <v>674</v>
      </c>
      <c r="C13" s="170">
        <v>1</v>
      </c>
      <c r="D13" s="121">
        <f>IF(ISERROR(D52/D53),0,(D52/D53))</f>
        <v>0.86305818977948145</v>
      </c>
      <c r="E13" s="283">
        <f>IF(ISERROR(E52/E53),0,(E52/E53))</f>
        <v>1.7218067505544759</v>
      </c>
      <c r="F13" s="125">
        <f>IF(ISERROR(F52/F53),0,(F52/F53))</f>
        <v>1.8243232197141601</v>
      </c>
      <c r="G13" s="125">
        <f>IF(ISERROR(G52/G53),0,(G52/G53))</f>
        <v>0.88687872727549344</v>
      </c>
      <c r="H13" s="277">
        <f>IF(ISERROR(H52/H53),0,(H52/H53))</f>
        <v>0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0.23458218967650002</v>
      </c>
      <c r="E14" s="283">
        <f>IF(ISERROR(E54/E53),0,(E54/E53))</f>
        <v>0.62936201858072749</v>
      </c>
      <c r="F14" s="125">
        <f>IF(ISERROR(F54/F53),0,(F54/F53))</f>
        <v>0.62936201858072749</v>
      </c>
      <c r="G14" s="125">
        <f>IF(ISERROR(G54/G53),0,(G54/G53))</f>
        <v>0.12605181956244602</v>
      </c>
      <c r="H14" s="277">
        <f>IF(ISERROR(H54/H53),0,(H54/H53))</f>
        <v>0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6.9854373899858907E-2</v>
      </c>
      <c r="E17" s="283">
        <f>IF(ISERROR(E59/E55),0,(E59/E55))</f>
        <v>0.28789123674895362</v>
      </c>
      <c r="F17" s="125">
        <f>IF(ISERROR(F59/F55),0,(F59/F55))</f>
        <v>0.32042813589618557</v>
      </c>
      <c r="G17" s="125">
        <f>IF(ISERROR(G59/G55),0,(G59/G55))</f>
        <v>0.52844073963764904</v>
      </c>
      <c r="H17" s="277">
        <f>IF(ISERROR(H59/H55),0,(H59/H55))</f>
        <v>0</v>
      </c>
    </row>
    <row r="18" spans="1:8" ht="25.5" x14ac:dyDescent="0.25">
      <c r="A18" s="127" t="s">
        <v>1231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0.40018762468240021</v>
      </c>
      <c r="E26" s="283">
        <f>IF(ISERROR(E40/E55),0,(E40/E55))</f>
        <v>0.35078596200321643</v>
      </c>
      <c r="F26" s="125">
        <f>IF(ISERROR(F40/F55),0,(F40/F55))</f>
        <v>0.34094793659167083</v>
      </c>
      <c r="G26" s="125">
        <f>IF(ISERROR(G40/G55),0,(G40/G55))</f>
        <v>0.37975925495318769</v>
      </c>
      <c r="H26" s="277">
        <f>IF(ISERROR(H40/H55),0,(H40/H55))</f>
        <v>0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0.15121961359972907</v>
      </c>
      <c r="E28" s="283">
        <f>IF(ISERROR((E42+E44)/E55),0,((E42+E44)/E55))</f>
        <v>2.5822122850322295E-2</v>
      </c>
      <c r="F28" s="125">
        <f>IF(ISERROR((F42+F44)/F55),0,((F42+F44)/F55))</f>
        <v>8.9649204460842957E-2</v>
      </c>
      <c r="G28" s="125">
        <f>IF(ISERROR((G42+G44)/G55),0,((G42+G44)/G55))</f>
        <v>4.4296075417929338E-3</v>
      </c>
      <c r="H28" s="277">
        <f>IF(ISERROR((H42+H44)/H55),0,((H42+H44)/H55))</f>
        <v>0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5557946</v>
      </c>
      <c r="E38" s="85">
        <f>'C6-FinPos'!D38</f>
        <v>6285164</v>
      </c>
      <c r="F38" s="85">
        <f>'C6-FinPos'!E38</f>
        <v>6316589.8200000003</v>
      </c>
      <c r="G38" s="98">
        <f>'C6-FinPos'!F38</f>
        <v>0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643810884</v>
      </c>
      <c r="E39" s="85">
        <f>'C6-FinPos'!D26</f>
        <v>728515432.13250232</v>
      </c>
      <c r="F39" s="85">
        <f>'C6-FinPos'!E26</f>
        <v>743539755.21816468</v>
      </c>
      <c r="G39" s="98">
        <f>'C6-FinPos'!F26</f>
        <v>803375042</v>
      </c>
      <c r="H39" s="49">
        <f>'C6-FinPos'!G26</f>
        <v>0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103878112</v>
      </c>
      <c r="E40" s="85">
        <f>'C4-FinPerf RE'!D26</f>
        <v>98964379.472879097</v>
      </c>
      <c r="F40" s="85">
        <f>'C4-FinPerf RE'!E26</f>
        <v>98964379.472879097</v>
      </c>
      <c r="G40" s="98">
        <f>'C4-FinPerf RE'!G26</f>
        <v>83030461.230000004</v>
      </c>
      <c r="H40" s="49">
        <f>'C4-FinPerf RE'!K26</f>
        <v>0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2014375</v>
      </c>
      <c r="E42" s="85">
        <f>'C4-FinPerf RE'!D30</f>
        <v>1284984.6954000003</v>
      </c>
      <c r="F42" s="85">
        <f>'C4-FinPerf RE'!E30</f>
        <v>10284984.6954</v>
      </c>
      <c r="G42" s="98">
        <f>'C4-FinPerf RE'!G30</f>
        <v>968488.2</v>
      </c>
      <c r="H42" s="49">
        <f>'C4-FinPerf RE'!K30</f>
        <v>0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5285995</v>
      </c>
      <c r="E43" s="85">
        <f>-'C7-CFlow'!D36</f>
        <v>2200000</v>
      </c>
      <c r="F43" s="85">
        <f>-'C7-CFlow'!E36</f>
        <v>0</v>
      </c>
      <c r="G43" s="98">
        <f>-'C7-CFlow'!G36</f>
        <v>0</v>
      </c>
      <c r="H43" s="49">
        <f>-'C7-CFlow'!K36</f>
        <v>0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37238233</v>
      </c>
      <c r="E44" s="85">
        <f>'C4-FinPerf RE'!D29</f>
        <v>6000000</v>
      </c>
      <c r="F44" s="85">
        <f>'C4-FinPerf RE'!E29</f>
        <v>15736812</v>
      </c>
      <c r="G44" s="98"/>
      <c r="H44" s="49">
        <f>'C4-FinPerf RE'!K27</f>
        <v>0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284874947</v>
      </c>
      <c r="E45" s="85">
        <f>'C4-FinPerf RE'!D37</f>
        <v>256505812.39300406</v>
      </c>
      <c r="F45" s="85">
        <f>'C4-FinPerf RE'!E37</f>
        <v>283290473.93799806</v>
      </c>
      <c r="G45" s="98">
        <f>'C4-FinPerf RE'!G37</f>
        <v>167391156.39000005</v>
      </c>
      <c r="H45" s="49">
        <f>'C4-FinPerf RE'!K37</f>
        <v>0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47732912</v>
      </c>
      <c r="E46" s="85">
        <f>'C5-Capex'!D40</f>
        <v>105703023.12096</v>
      </c>
      <c r="F46" s="85">
        <f>'C5-Capex'!E40</f>
        <v>67693761.120959997</v>
      </c>
      <c r="G46" s="98">
        <f>'C5-Capex'!G40</f>
        <v>49701355</v>
      </c>
      <c r="H46" s="49">
        <f>'C5-Capex'!K40</f>
        <v>0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88233381</v>
      </c>
      <c r="E48" s="85">
        <f>'C6-FinPos'!D30+'C6-FinPos'!D31+'C6-FinPos'!D33+'C6-FinPos'!D38</f>
        <v>39970873.579999998</v>
      </c>
      <c r="F48" s="85">
        <f>'C6-FinPos'!E30+'C6-FinPos'!E31+'C6-FinPos'!E33+'C6-FinPos'!E38</f>
        <v>40170727.947900005</v>
      </c>
      <c r="G48" s="85">
        <f>'C6-FinPos'!F30+'C6-FinPos'!F31+'C6-FinPos'!F33+'C6-FinPos'!F38</f>
        <v>85863474</v>
      </c>
      <c r="H48" s="49">
        <f>'C6-FinPos'!G30+'C6-FinPos'!G31+'C6-FinPos'!G33+'C6-FinPos'!G38</f>
        <v>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500716049</v>
      </c>
      <c r="E49" s="85">
        <f>'C6-FinPos'!D48</f>
        <v>569085639.30250227</v>
      </c>
      <c r="F49" s="85">
        <f>'C6-FinPos'!E48</f>
        <v>1037630596.7614646</v>
      </c>
      <c r="G49" s="98">
        <f>'C6-FinPos'!F48</f>
        <v>533961705</v>
      </c>
      <c r="H49" s="49">
        <f>'C6-FinPos'!G48</f>
        <v>0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571931067.49901474</v>
      </c>
      <c r="G50" s="98">
        <f>'C6-FinPos'!F47</f>
        <v>0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5557946</v>
      </c>
      <c r="E51" s="85">
        <f>'C6-FinPos'!D38</f>
        <v>6285164</v>
      </c>
      <c r="F51" s="85">
        <f>'C6-FinPos'!E38</f>
        <v>6316589.8200000003</v>
      </c>
      <c r="G51" s="98">
        <f>'C6-FinPos'!F38</f>
        <v>0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74052023</v>
      </c>
      <c r="E52" s="85">
        <f>'C6-FinPos'!D13</f>
        <v>190210107.54154223</v>
      </c>
      <c r="F52" s="85">
        <f>'C6-FinPos'!E13</f>
        <v>202542904.00424999</v>
      </c>
      <c r="G52" s="98">
        <f>'C6-FinPos'!F13</f>
        <v>192194062</v>
      </c>
      <c r="H52" s="49">
        <f>'C6-FinPos'!G13</f>
        <v>0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85801889</v>
      </c>
      <c r="E53" s="85">
        <f>'C6-FinPos'!D35</f>
        <v>110471228.83</v>
      </c>
      <c r="F53" s="85">
        <f>'C6-FinPos'!E35</f>
        <v>111023584.97415</v>
      </c>
      <c r="G53" s="98">
        <f>'C6-FinPos'!F35</f>
        <v>216708391</v>
      </c>
      <c r="H53" s="49">
        <f>'C6-FinPos'!G35</f>
        <v>0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20127595</v>
      </c>
      <c r="E54" s="85">
        <f>'C6-FinPos'!D7+'C6-FinPos'!D8</f>
        <v>69526395.571542263</v>
      </c>
      <c r="F54" s="85">
        <f>'C6-FinPos'!E7+'C6-FinPos'!E8</f>
        <v>69874027.549399972</v>
      </c>
      <c r="G54" s="98">
        <f>'C6-FinPos'!F7+'C6-FinPos'!F8</f>
        <v>27316487</v>
      </c>
      <c r="H54" s="49">
        <f>'C6-FinPos'!G7+'C6-FinPos'!G8</f>
        <v>0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259573524</v>
      </c>
      <c r="E55" s="85">
        <f>'C4-FinPerf RE'!D23</f>
        <v>282121835.51396412</v>
      </c>
      <c r="F55" s="85">
        <f>'C4-FinPerf RE'!E23</f>
        <v>290262438.48896414</v>
      </c>
      <c r="G55" s="98">
        <f>'C4-FinPerf RE'!G23</f>
        <v>218639730.69</v>
      </c>
      <c r="H55" s="49">
        <f>'C4-FinPerf RE'!K23</f>
        <v>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162320049</v>
      </c>
      <c r="E56" s="85">
        <f>'C4-FinPerf RE'!D20</f>
        <v>145031000</v>
      </c>
      <c r="F56" s="85">
        <f>'C4-FinPerf RE'!E20</f>
        <v>142831000</v>
      </c>
      <c r="G56" s="98">
        <f>'C4-FinPerf RE'!G20</f>
        <v>106771090</v>
      </c>
      <c r="H56" s="49">
        <f>'C4-FinPerf RE'!K20</f>
        <v>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80087000</v>
      </c>
      <c r="F57" s="85">
        <f>'C4-FinPerf RE'!E40</f>
        <v>60722000</v>
      </c>
      <c r="G57" s="98">
        <f>'C4-FinPerf RE'!G40</f>
        <v>0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-4544939</v>
      </c>
      <c r="E58" s="85">
        <f>'C7-CFlow'!D12+'C7-CFlow'!D36</f>
        <v>1544271</v>
      </c>
      <c r="F58" s="85">
        <f>'C7-CFlow'!E12+'C7-CFlow'!E36</f>
        <v>984000</v>
      </c>
      <c r="G58" s="98">
        <f>'C7-CFlow'!G16+'C7-CFlow'!G36</f>
        <v>0</v>
      </c>
      <c r="H58" s="49">
        <f>'C7-CFlow'!K16+'C7-CFlow'!K36</f>
        <v>0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18132346</v>
      </c>
      <c r="E59" s="85">
        <f>'C6-FinPos'!D9+'C6-FinPos'!D10+'C6-FinPos'!D11+'C6-FinPos'!D16</f>
        <v>81220404.140000001</v>
      </c>
      <c r="F59" s="85">
        <f>'C6-FinPos'!E9+'C6-FinPos'!E10+'C6-FinPos'!E11+'C6-FinPos'!E16</f>
        <v>93008252.085700005</v>
      </c>
      <c r="G59" s="98">
        <f>'C6-FinPos'!F9+'C6-FinPos'!F10+'C6-FinPos'!F11+'C6-FinPos'!F16</f>
        <v>115538141</v>
      </c>
      <c r="H59" s="49">
        <f>'C6-FinPos'!G9+'C6-FinPos'!G10+'C6-FinPos'!G11+'C6-FinPos'!G16</f>
        <v>0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60789864</v>
      </c>
      <c r="E60" s="85">
        <f>SUM('C4-FinPerf RE'!D8:D12)</f>
        <v>73467575</v>
      </c>
      <c r="F60" s="85">
        <f>SUM('C4-FinPerf RE'!E8:E12)</f>
        <v>84790886</v>
      </c>
      <c r="G60" s="98">
        <f>SUM('C4-FinPerf RE'!G8:G12)</f>
        <v>50773835.300000004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20127595</v>
      </c>
      <c r="E61" s="85">
        <f>'C6-FinPos'!D7+'C6-FinPos'!D8+'C6-FinPos'!D17-'C6-FinPos'!D30</f>
        <v>71581388.571542263</v>
      </c>
      <c r="F61" s="85">
        <f>'C6-FinPos'!E7+'C6-FinPos'!E8+'C6-FinPos'!E17-'C6-FinPos'!E30</f>
        <v>71939295.514399976</v>
      </c>
      <c r="G61" s="98">
        <f>'C6-FinPos'!F7+'C6-FinPos'!F8+'C6-FinPos'!F17-'C6-FinPos'!F30</f>
        <v>47211844</v>
      </c>
      <c r="H61" s="49">
        <f>'C6-FinPos'!G7+'C6-FinPos'!G8+'C6-FinPos'!G17-'C6-FinPos'!G30</f>
        <v>0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5" type="noConversion"/>
  <printOptions horizontalCentered="1"/>
  <pageMargins left="0.36" right="0.21" top="0.52" bottom="0.4" header="0.51181102362204722" footer="0.38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="124" zoomScaleNormal="100" zoomScaleSheetLayoutView="124" workbookViewId="0">
      <pane xSplit="1" ySplit="3" topLeftCell="B4" activePane="bottomRight" state="frozen"/>
      <selection pane="topRight"/>
      <selection pane="bottomLeft"/>
      <selection pane="bottomRight" activeCell="I16" sqref="I16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6" t="str">
        <f>muni&amp; " - "&amp;S71I&amp; " - "&amp;Head57</f>
        <v>NW385 Ramotshere Moiloa - Supporting Table SC3 Monthly Budget Statement - aged debtors - M10 April</v>
      </c>
      <c r="B1" s="996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63"/>
      <c r="O1" s="409"/>
    </row>
    <row r="2" spans="1:16" ht="13.35" customHeight="1" x14ac:dyDescent="0.25">
      <c r="A2" s="358" t="str">
        <f>desc</f>
        <v>Description</v>
      </c>
      <c r="B2" s="921"/>
      <c r="C2" s="1004" t="str">
        <f>Head2</f>
        <v>Budget Year 2015/16</v>
      </c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6"/>
      <c r="O2" s="939"/>
    </row>
    <row r="3" spans="1:16" ht="52.5" customHeight="1" x14ac:dyDescent="0.25">
      <c r="A3" s="928" t="s">
        <v>814</v>
      </c>
      <c r="B3" s="920" t="s">
        <v>883</v>
      </c>
      <c r="C3" s="924" t="s">
        <v>16</v>
      </c>
      <c r="D3" s="925" t="s">
        <v>17</v>
      </c>
      <c r="E3" s="925" t="s">
        <v>18</v>
      </c>
      <c r="F3" s="925" t="s">
        <v>19</v>
      </c>
      <c r="G3" s="925" t="s">
        <v>20</v>
      </c>
      <c r="H3" s="925" t="s">
        <v>21</v>
      </c>
      <c r="I3" s="925" t="s">
        <v>22</v>
      </c>
      <c r="J3" s="926" t="s">
        <v>23</v>
      </c>
      <c r="K3" s="927" t="s">
        <v>59</v>
      </c>
      <c r="L3" s="927" t="s">
        <v>1277</v>
      </c>
      <c r="M3" s="927" t="s">
        <v>1278</v>
      </c>
      <c r="N3" s="927" t="s">
        <v>1265</v>
      </c>
      <c r="O3" s="318"/>
    </row>
    <row r="4" spans="1:16" ht="12.75" x14ac:dyDescent="0.25">
      <c r="A4" s="88" t="s">
        <v>1253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1254</v>
      </c>
      <c r="B5" s="170">
        <v>1200</v>
      </c>
      <c r="C5" s="759"/>
      <c r="D5" s="747"/>
      <c r="E5" s="747"/>
      <c r="F5" s="747"/>
      <c r="G5" s="747"/>
      <c r="H5" s="747"/>
      <c r="I5" s="747"/>
      <c r="J5" s="758"/>
      <c r="K5" s="135">
        <f>SUM(C5:J5)</f>
        <v>0</v>
      </c>
      <c r="L5" s="135">
        <f>SUM(F5:J5)</f>
        <v>0</v>
      </c>
      <c r="M5" s="761"/>
      <c r="N5" s="761"/>
      <c r="O5" s="940"/>
    </row>
    <row r="6" spans="1:16" ht="12.75" customHeight="1" x14ac:dyDescent="0.25">
      <c r="A6" s="40" t="s">
        <v>1256</v>
      </c>
      <c r="B6" s="170">
        <v>1300</v>
      </c>
      <c r="C6" s="759"/>
      <c r="D6" s="747"/>
      <c r="E6" s="747"/>
      <c r="F6" s="747"/>
      <c r="G6" s="747"/>
      <c r="H6" s="747"/>
      <c r="I6" s="747"/>
      <c r="J6" s="758"/>
      <c r="K6" s="135">
        <f>SUM(C6:J6)</f>
        <v>0</v>
      </c>
      <c r="L6" s="135">
        <f t="shared" ref="L6:L12" si="0">SUM(F6:J6)</f>
        <v>0</v>
      </c>
      <c r="M6" s="761"/>
      <c r="N6" s="761"/>
      <c r="O6" s="940"/>
    </row>
    <row r="7" spans="1:16" ht="12.75" customHeight="1" x14ac:dyDescent="0.25">
      <c r="A7" s="40" t="s">
        <v>1255</v>
      </c>
      <c r="B7" s="170">
        <v>1400</v>
      </c>
      <c r="C7" s="759"/>
      <c r="D7" s="747"/>
      <c r="E7" s="747"/>
      <c r="F7" s="747"/>
      <c r="G7" s="747"/>
      <c r="H7" s="747"/>
      <c r="I7" s="747"/>
      <c r="J7" s="758"/>
      <c r="K7" s="135">
        <f t="shared" ref="K7:K13" si="1">SUM(C7:J7)</f>
        <v>0</v>
      </c>
      <c r="L7" s="135">
        <f t="shared" si="0"/>
        <v>0</v>
      </c>
      <c r="M7" s="761"/>
      <c r="N7" s="761"/>
      <c r="O7" s="940"/>
    </row>
    <row r="8" spans="1:16" ht="12.75" customHeight="1" x14ac:dyDescent="0.25">
      <c r="A8" s="40" t="s">
        <v>1257</v>
      </c>
      <c r="B8" s="170">
        <v>1500</v>
      </c>
      <c r="C8" s="759"/>
      <c r="D8" s="747"/>
      <c r="E8" s="747"/>
      <c r="F8" s="747"/>
      <c r="G8" s="747"/>
      <c r="H8" s="747"/>
      <c r="I8" s="747"/>
      <c r="J8" s="758"/>
      <c r="K8" s="135">
        <f t="shared" si="1"/>
        <v>0</v>
      </c>
      <c r="L8" s="135">
        <f t="shared" si="0"/>
        <v>0</v>
      </c>
      <c r="M8" s="761"/>
      <c r="N8" s="761"/>
      <c r="O8" s="940"/>
    </row>
    <row r="9" spans="1:16" ht="12.75" customHeight="1" x14ac:dyDescent="0.25">
      <c r="A9" s="40" t="s">
        <v>1258</v>
      </c>
      <c r="B9" s="170">
        <v>1600</v>
      </c>
      <c r="C9" s="759"/>
      <c r="D9" s="747"/>
      <c r="E9" s="747"/>
      <c r="F9" s="747"/>
      <c r="G9" s="747"/>
      <c r="H9" s="747"/>
      <c r="I9" s="747"/>
      <c r="J9" s="758"/>
      <c r="K9" s="135">
        <f t="shared" si="1"/>
        <v>0</v>
      </c>
      <c r="L9" s="135">
        <f>SUM(F9:J9)</f>
        <v>0</v>
      </c>
      <c r="M9" s="761"/>
      <c r="N9" s="761"/>
      <c r="O9" s="940"/>
    </row>
    <row r="10" spans="1:16" ht="12.75" customHeight="1" x14ac:dyDescent="0.25">
      <c r="A10" s="40" t="s">
        <v>1259</v>
      </c>
      <c r="B10" s="170">
        <v>1700</v>
      </c>
      <c r="C10" s="759"/>
      <c r="D10" s="747"/>
      <c r="E10" s="747"/>
      <c r="F10" s="747"/>
      <c r="G10" s="747"/>
      <c r="H10" s="747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40"/>
    </row>
    <row r="11" spans="1:16" ht="12.75" customHeight="1" x14ac:dyDescent="0.25">
      <c r="A11" s="40" t="s">
        <v>1260</v>
      </c>
      <c r="B11" s="170">
        <v>1810</v>
      </c>
      <c r="C11" s="759"/>
      <c r="D11" s="747"/>
      <c r="E11" s="747"/>
      <c r="F11" s="747"/>
      <c r="G11" s="747"/>
      <c r="H11" s="747"/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40"/>
      <c r="P11" s="97"/>
    </row>
    <row r="12" spans="1:16" ht="12.75" customHeight="1" x14ac:dyDescent="0.25">
      <c r="A12" s="40" t="s">
        <v>1261</v>
      </c>
      <c r="B12" s="170">
        <v>1820</v>
      </c>
      <c r="C12" s="759"/>
      <c r="D12" s="747"/>
      <c r="E12" s="747"/>
      <c r="F12" s="747"/>
      <c r="G12" s="747"/>
      <c r="H12" s="747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40"/>
      <c r="P12" s="97"/>
    </row>
    <row r="13" spans="1:16" ht="12.75" customHeight="1" x14ac:dyDescent="0.25">
      <c r="A13" s="40" t="s">
        <v>867</v>
      </c>
      <c r="B13" s="170">
        <v>1900</v>
      </c>
      <c r="C13" s="759"/>
      <c r="D13" s="747"/>
      <c r="E13" s="747"/>
      <c r="F13" s="747"/>
      <c r="G13" s="747"/>
      <c r="H13" s="747"/>
      <c r="I13" s="747"/>
      <c r="J13" s="758"/>
      <c r="K13" s="135">
        <f t="shared" si="1"/>
        <v>0</v>
      </c>
      <c r="L13" s="135">
        <f>SUM(F13:J13)</f>
        <v>0</v>
      </c>
      <c r="M13" s="761"/>
      <c r="N13" s="761"/>
      <c r="O13" s="940"/>
    </row>
    <row r="14" spans="1:16" ht="12.75" customHeight="1" x14ac:dyDescent="0.25">
      <c r="A14" s="54" t="s">
        <v>1262</v>
      </c>
      <c r="B14" s="286">
        <v>2000</v>
      </c>
      <c r="C14" s="57">
        <f t="shared" ref="C14:N14" si="2">SUM(C5:C13)</f>
        <v>0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6">
        <f t="shared" si="2"/>
        <v>0</v>
      </c>
      <c r="H14" s="56">
        <f t="shared" si="2"/>
        <v>0</v>
      </c>
      <c r="I14" s="56">
        <f t="shared" si="2"/>
        <v>0</v>
      </c>
      <c r="J14" s="84">
        <f t="shared" si="2"/>
        <v>0</v>
      </c>
      <c r="K14" s="113">
        <f t="shared" si="2"/>
        <v>0</v>
      </c>
      <c r="L14" s="113">
        <f>SUM(L5:L13)</f>
        <v>0</v>
      </c>
      <c r="M14" s="55">
        <f t="shared" si="2"/>
        <v>0</v>
      </c>
      <c r="N14" s="55">
        <f t="shared" si="2"/>
        <v>0</v>
      </c>
      <c r="O14" s="941"/>
    </row>
    <row r="15" spans="1:16" ht="12.75" customHeight="1" x14ac:dyDescent="0.25">
      <c r="A15" s="316" t="str">
        <f>Head1&amp;" - totals only"</f>
        <v>2014/15 -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2"/>
      <c r="O15" s="50"/>
    </row>
    <row r="16" spans="1:16" ht="12.75" customHeight="1" x14ac:dyDescent="0.25">
      <c r="A16" s="88" t="s">
        <v>1266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3"/>
    </row>
    <row r="17" spans="1:14" ht="12.75" customHeight="1" x14ac:dyDescent="0.25">
      <c r="A17" s="40" t="s">
        <v>1263</v>
      </c>
      <c r="B17" s="170">
        <v>2200</v>
      </c>
      <c r="C17" s="759"/>
      <c r="D17" s="747"/>
      <c r="E17" s="747"/>
      <c r="F17" s="747"/>
      <c r="G17" s="747"/>
      <c r="H17" s="747"/>
      <c r="I17" s="747"/>
      <c r="J17" s="758"/>
      <c r="K17" s="135">
        <f>SUM(C17:J17)</f>
        <v>0</v>
      </c>
      <c r="L17" s="655">
        <f>SUM(F17:J17)</f>
        <v>0</v>
      </c>
      <c r="M17" s="761"/>
      <c r="N17" s="762"/>
    </row>
    <row r="18" spans="1:14" ht="12.75" customHeight="1" x14ac:dyDescent="0.25">
      <c r="A18" s="40" t="s">
        <v>1264</v>
      </c>
      <c r="B18" s="170">
        <v>2300</v>
      </c>
      <c r="C18" s="759"/>
      <c r="D18" s="747"/>
      <c r="E18" s="747"/>
      <c r="F18" s="747"/>
      <c r="G18" s="747"/>
      <c r="H18" s="747"/>
      <c r="I18" s="747"/>
      <c r="J18" s="758"/>
      <c r="K18" s="135">
        <f>SUM(C18:J18)</f>
        <v>0</v>
      </c>
      <c r="L18" s="655">
        <f>SUM(F18:J18)</f>
        <v>0</v>
      </c>
      <c r="M18" s="761"/>
      <c r="N18" s="762"/>
    </row>
    <row r="19" spans="1:14" ht="12.75" customHeight="1" x14ac:dyDescent="0.25">
      <c r="A19" s="40" t="s">
        <v>832</v>
      </c>
      <c r="B19" s="170">
        <v>2400</v>
      </c>
      <c r="C19" s="759"/>
      <c r="D19" s="747"/>
      <c r="E19" s="747"/>
      <c r="F19" s="747"/>
      <c r="G19" s="747"/>
      <c r="H19" s="747"/>
      <c r="I19" s="747"/>
      <c r="J19" s="758"/>
      <c r="K19" s="135">
        <f>SUM(C19:J19)</f>
        <v>0</v>
      </c>
      <c r="L19" s="655">
        <f>SUM(F19:J19)</f>
        <v>0</v>
      </c>
      <c r="M19" s="761"/>
      <c r="N19" s="762"/>
    </row>
    <row r="20" spans="1:14" ht="12.75" customHeight="1" x14ac:dyDescent="0.25">
      <c r="A20" s="40" t="s">
        <v>867</v>
      </c>
      <c r="B20" s="170">
        <v>2500</v>
      </c>
      <c r="C20" s="759"/>
      <c r="D20" s="747"/>
      <c r="E20" s="747"/>
      <c r="F20" s="747"/>
      <c r="G20" s="747"/>
      <c r="H20" s="747"/>
      <c r="I20" s="747"/>
      <c r="J20" s="758"/>
      <c r="K20" s="135">
        <f>SUM(C20:J20)</f>
        <v>0</v>
      </c>
      <c r="L20" s="655">
        <f>SUM(F20:J20)</f>
        <v>0</v>
      </c>
      <c r="M20" s="761"/>
      <c r="N20" s="763"/>
    </row>
    <row r="21" spans="1:14" ht="12.75" customHeight="1" x14ac:dyDescent="0.25">
      <c r="A21" s="54" t="s">
        <v>1267</v>
      </c>
      <c r="B21" s="286">
        <v>2600</v>
      </c>
      <c r="C21" s="57">
        <f t="shared" ref="C21:I21" si="3">SUM(C17:C20)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0</v>
      </c>
      <c r="H21" s="56">
        <f t="shared" si="3"/>
        <v>0</v>
      </c>
      <c r="I21" s="56">
        <f t="shared" si="3"/>
        <v>0</v>
      </c>
      <c r="J21" s="84">
        <f>SUM(J17:J20)</f>
        <v>0</v>
      </c>
      <c r="K21" s="113">
        <f>SUM(K17:K20)</f>
        <v>0</v>
      </c>
      <c r="L21" s="942">
        <f>SUM(L17:L20)</f>
        <v>0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1268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5" type="noConversion"/>
  <printOptions horizontalCentered="1"/>
  <pageMargins left="0.35433070866141736" right="0.17" top="0.78" bottom="0.59055118110236227" header="0.51181102362204722" footer="0.39370078740157483"/>
  <pageSetup paperSize="9" scale="88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tabSelected="1" view="pageBreakPreview" zoomScale="140" zoomScaleNormal="100" zoomScaleSheetLayoutView="140" workbookViewId="0"/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10</v>
      </c>
    </row>
    <row r="11" spans="4:25" x14ac:dyDescent="0.2">
      <c r="W11" s="656" t="s">
        <v>1026</v>
      </c>
      <c r="X11" s="714" t="str">
        <f>VLOOKUP(X10,W39:X55,2)</f>
        <v>M10 April</v>
      </c>
      <c r="Y11" s="930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8</v>
      </c>
    </row>
    <row r="36" spans="22:25" x14ac:dyDescent="0.2">
      <c r="X36" s="694">
        <f>INDEX(X19:X33,X35,1)</f>
        <v>2015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2015/16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9"/>
    </row>
    <row r="40" spans="22:25" x14ac:dyDescent="0.2">
      <c r="W40" s="656">
        <v>2</v>
      </c>
      <c r="X40" s="656" t="s">
        <v>1022</v>
      </c>
      <c r="Y40" s="929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5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58" r:id="rId4" name="TextBox3">
          <controlPr defaultSize="0" autoLine="0" autoPict="0" linkedCell="Contacts!B61" r:id="rId5">
            <anchor moveWithCells="1">
              <from>
                <xdr:col>0</xdr:col>
                <xdr:colOff>590550</xdr:colOff>
                <xdr:row>1</xdr:row>
                <xdr:rowOff>47625</xdr:rowOff>
              </from>
              <to>
                <xdr:col>2</xdr:col>
                <xdr:colOff>28575</xdr:colOff>
                <xdr:row>1</xdr:row>
                <xdr:rowOff>85725</xdr:rowOff>
              </to>
            </anchor>
          </controlPr>
        </control>
      </mc:Choice>
      <mc:Fallback>
        <control shapeId="142358" r:id="rId4" name="TextBox3"/>
      </mc:Fallback>
    </mc:AlternateContent>
    <mc:AlternateContent xmlns:mc="http://schemas.openxmlformats.org/markup-compatibility/2006">
      <mc:Choice Requires="x14">
        <control shapeId="142359" r:id="rId6" name="TextBox4">
          <controlPr defaultSize="0" autoLine="0" autoPict="0" linkedCell="Contacts!B62" r:id="rId7">
            <anchor moveWithCells="1">
              <from>
                <xdr:col>0</xdr:col>
                <xdr:colOff>590550</xdr:colOff>
                <xdr:row>1</xdr:row>
                <xdr:rowOff>114300</xdr:rowOff>
              </from>
              <to>
                <xdr:col>1</xdr:col>
                <xdr:colOff>257175</xdr:colOff>
                <xdr:row>2</xdr:row>
                <xdr:rowOff>0</xdr:rowOff>
              </to>
            </anchor>
          </controlPr>
        </control>
      </mc:Choice>
      <mc:Fallback>
        <control shapeId="142359" r:id="rId6" name="TextBox4"/>
      </mc:Fallback>
    </mc:AlternateContent>
    <mc:AlternateContent xmlns:mc="http://schemas.openxmlformats.org/markup-compatibility/2006">
      <mc:Choice Requires="x14">
        <control shapeId="142360" r:id="rId8" name="TextBox5">
          <controlPr defaultSize="0" autoLine="0" autoPict="0" linkedCell="Contacts!B65" r:id="rId9">
            <anchor moveWithCells="1">
              <from>
                <xdr:col>0</xdr:col>
                <xdr:colOff>590550</xdr:colOff>
                <xdr:row>2</xdr:row>
                <xdr:rowOff>28575</xdr:rowOff>
              </from>
              <to>
                <xdr:col>2</xdr:col>
                <xdr:colOff>28575</xdr:colOff>
                <xdr:row>2</xdr:row>
                <xdr:rowOff>66675</xdr:rowOff>
              </to>
            </anchor>
          </controlPr>
        </control>
      </mc:Choice>
      <mc:Fallback>
        <control shapeId="142360" r:id="rId8" name="TextBox5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autoPict="0" linkedCell="Contacts!B64" r:id="rId11">
            <anchor moveWithCells="1">
              <from>
                <xdr:col>1</xdr:col>
                <xdr:colOff>381000</xdr:colOff>
                <xdr:row>1</xdr:row>
                <xdr:rowOff>114300</xdr:rowOff>
              </from>
              <to>
                <xdr:col>2</xdr:col>
                <xdr:colOff>19050</xdr:colOff>
                <xdr:row>2</xdr:row>
                <xdr:rowOff>0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2" r:id="rId12" name="ToggleReferenceColumns">
          <controlPr defaultSize="0" autoLine="0" autoPict="0" r:id="rId13">
            <anchor moveWithCells="1">
              <from>
                <xdr:col>0</xdr:col>
                <xdr:colOff>133350</xdr:colOff>
                <xdr:row>6</xdr:row>
                <xdr:rowOff>38100</xdr:rowOff>
              </from>
              <to>
                <xdr:col>0</xdr:col>
                <xdr:colOff>561975</xdr:colOff>
                <xdr:row>6</xdr:row>
                <xdr:rowOff>85725</xdr:rowOff>
              </to>
            </anchor>
          </controlPr>
        </control>
      </mc:Choice>
      <mc:Fallback>
        <control shapeId="142362" r:id="rId12" name="ToggleReferenceColumns"/>
      </mc:Fallback>
    </mc:AlternateContent>
    <mc:AlternateContent xmlns:mc="http://schemas.openxmlformats.org/markup-compatibility/2006">
      <mc:Choice Requires="x14">
        <control shapeId="142363" r:id="rId14" name="TogglePreAuditColums">
          <controlPr defaultSize="0" autoLine="0" autoPict="0" r:id="rId15">
            <anchor moveWithCells="1">
              <from>
                <xdr:col>0</xdr:col>
                <xdr:colOff>133350</xdr:colOff>
                <xdr:row>6</xdr:row>
                <xdr:rowOff>114300</xdr:rowOff>
              </from>
              <to>
                <xdr:col>0</xdr:col>
                <xdr:colOff>561975</xdr:colOff>
                <xdr:row>7</xdr:row>
                <xdr:rowOff>9525</xdr:rowOff>
              </to>
            </anchor>
          </controlPr>
        </control>
      </mc:Choice>
      <mc:Fallback>
        <control shapeId="142363" r:id="rId14" name="TogglePreAuditColums"/>
      </mc:Fallback>
    </mc:AlternateContent>
    <mc:AlternateContent xmlns:mc="http://schemas.openxmlformats.org/markup-compatibility/2006">
      <mc:Choice Requires="x14">
        <control shapeId="142364" r:id="rId16" name="ToggleHiddenColumns">
          <controlPr defaultSize="0" autoLine="0" autoPict="0" r:id="rId17">
            <anchor moveWithCells="1">
              <from>
                <xdr:col>0</xdr:col>
                <xdr:colOff>133350</xdr:colOff>
                <xdr:row>7</xdr:row>
                <xdr:rowOff>85725</xdr:rowOff>
              </from>
              <to>
                <xdr:col>0</xdr:col>
                <xdr:colOff>561975</xdr:colOff>
                <xdr:row>7</xdr:row>
                <xdr:rowOff>142875</xdr:rowOff>
              </to>
            </anchor>
          </controlPr>
        </control>
      </mc:Choice>
      <mc:Fallback>
        <control shapeId="142364" r:id="rId16" name="ToggleHiddenColumns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2</xdr:col>
                <xdr:colOff>161925</xdr:colOff>
                <xdr:row>8</xdr:row>
                <xdr:rowOff>66675</xdr:rowOff>
              </from>
              <to>
                <xdr:col>2</xdr:col>
                <xdr:colOff>542925</xdr:colOff>
                <xdr:row>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2</xdr:col>
                <xdr:colOff>161925</xdr:colOff>
                <xdr:row>9</xdr:row>
                <xdr:rowOff>85725</xdr:rowOff>
              </from>
              <to>
                <xdr:col>3</xdr:col>
                <xdr:colOff>228600</xdr:colOff>
                <xdr:row>10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2</xdr:col>
                <xdr:colOff>161925</xdr:colOff>
                <xdr:row>7</xdr:row>
                <xdr:rowOff>38100</xdr:rowOff>
              </from>
              <to>
                <xdr:col>3</xdr:col>
                <xdr:colOff>85725</xdr:colOff>
                <xdr:row>7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2</xdr:col>
                <xdr:colOff>171450</xdr:colOff>
                <xdr:row>1</xdr:row>
                <xdr:rowOff>152400</xdr:rowOff>
              </from>
              <to>
                <xdr:col>4</xdr:col>
                <xdr:colOff>504825</xdr:colOff>
                <xdr:row>2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2</xdr:col>
                <xdr:colOff>161925</xdr:colOff>
                <xdr:row>6</xdr:row>
                <xdr:rowOff>28575</xdr:rowOff>
              </from>
              <to>
                <xdr:col>3</xdr:col>
                <xdr:colOff>85725</xdr:colOff>
                <xdr:row>6</xdr:row>
                <xdr:rowOff>133350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="120" zoomScaleNormal="100" zoomScaleSheetLayoutView="12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6" t="str">
        <f>muni&amp; " - "&amp;S71J&amp; " - "&amp;Head57</f>
        <v>NW385 Ramotshere Moiloa - Supporting Table SC4 Monthly Budget Statement - aged creditors 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2" ht="12.75" customHeight="1" x14ac:dyDescent="0.25">
      <c r="A2" s="985" t="str">
        <f>desc</f>
        <v>Description</v>
      </c>
      <c r="B2" s="1007" t="s">
        <v>883</v>
      </c>
      <c r="C2" s="138" t="str">
        <f>Head2</f>
        <v>Budget Year 2015/16</v>
      </c>
      <c r="D2" s="138"/>
      <c r="E2" s="138"/>
      <c r="F2" s="138"/>
      <c r="G2" s="138"/>
      <c r="H2" s="138"/>
      <c r="I2" s="138"/>
      <c r="J2" s="138"/>
      <c r="K2" s="139"/>
      <c r="L2" s="1014" t="s">
        <v>84</v>
      </c>
    </row>
    <row r="3" spans="1:12" ht="12.75" customHeight="1" x14ac:dyDescent="0.25">
      <c r="A3" s="1020"/>
      <c r="B3" s="1008"/>
      <c r="C3" s="1010" t="s">
        <v>875</v>
      </c>
      <c r="D3" s="1012" t="s">
        <v>876</v>
      </c>
      <c r="E3" s="1012" t="s">
        <v>877</v>
      </c>
      <c r="F3" s="1012" t="s">
        <v>878</v>
      </c>
      <c r="G3" s="1012" t="s">
        <v>879</v>
      </c>
      <c r="H3" s="1012" t="s">
        <v>880</v>
      </c>
      <c r="I3" s="1012" t="s">
        <v>881</v>
      </c>
      <c r="J3" s="1017" t="s">
        <v>882</v>
      </c>
      <c r="K3" s="1019" t="s">
        <v>631</v>
      </c>
      <c r="L3" s="1015"/>
    </row>
    <row r="4" spans="1:12" ht="12.75" customHeight="1" x14ac:dyDescent="0.25">
      <c r="A4" s="35" t="s">
        <v>814</v>
      </c>
      <c r="B4" s="1009"/>
      <c r="C4" s="1011"/>
      <c r="D4" s="1013"/>
      <c r="E4" s="1013"/>
      <c r="F4" s="1013"/>
      <c r="G4" s="1013"/>
      <c r="H4" s="1013"/>
      <c r="I4" s="1013"/>
      <c r="J4" s="1018"/>
      <c r="K4" s="1009"/>
      <c r="L4" s="1016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3146891</v>
      </c>
      <c r="D6" s="747">
        <v>490768</v>
      </c>
      <c r="E6" s="747">
        <v>0</v>
      </c>
      <c r="F6" s="747">
        <v>0</v>
      </c>
      <c r="G6" s="747">
        <v>0</v>
      </c>
      <c r="H6" s="747">
        <v>0</v>
      </c>
      <c r="I6" s="747">
        <v>0</v>
      </c>
      <c r="J6" s="749"/>
      <c r="K6" s="110">
        <f>SUM(C6:J6)</f>
        <v>3637659</v>
      </c>
      <c r="L6" s="762"/>
    </row>
    <row r="7" spans="1:12" ht="12.75" customHeight="1" x14ac:dyDescent="0.25">
      <c r="A7" s="40" t="s">
        <v>835</v>
      </c>
      <c r="B7" s="170" t="s">
        <v>836</v>
      </c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9"/>
      <c r="K7" s="110">
        <f t="shared" ref="K7:K13" si="0">SUM(C7:J7)</f>
        <v>0</v>
      </c>
      <c r="L7" s="762"/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/>
      <c r="K8" s="110">
        <f t="shared" si="0"/>
        <v>0</v>
      </c>
      <c r="L8" s="762"/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/>
      <c r="K9" s="110">
        <f t="shared" si="0"/>
        <v>0</v>
      </c>
      <c r="L9" s="762"/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/>
      <c r="K10" s="110">
        <f t="shared" si="0"/>
        <v>0</v>
      </c>
      <c r="L10" s="762"/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/>
      <c r="K11" s="110">
        <f t="shared" si="0"/>
        <v>0</v>
      </c>
      <c r="L11" s="762"/>
    </row>
    <row r="12" spans="1:12" ht="12.75" customHeight="1" x14ac:dyDescent="0.25">
      <c r="A12" s="40" t="s">
        <v>741</v>
      </c>
      <c r="B12" s="170" t="s">
        <v>742</v>
      </c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9"/>
      <c r="K12" s="110">
        <f t="shared" si="0"/>
        <v>0</v>
      </c>
      <c r="L12" s="762"/>
    </row>
    <row r="13" spans="1:12" ht="12.75" customHeight="1" x14ac:dyDescent="0.25">
      <c r="A13" s="40" t="s">
        <v>743</v>
      </c>
      <c r="B13" s="170" t="s">
        <v>744</v>
      </c>
      <c r="C13" s="767">
        <v>0</v>
      </c>
      <c r="D13" s="747">
        <v>0</v>
      </c>
      <c r="E13" s="747">
        <v>0</v>
      </c>
      <c r="F13" s="747">
        <v>0</v>
      </c>
      <c r="G13" s="747">
        <v>0</v>
      </c>
      <c r="H13" s="747">
        <v>0</v>
      </c>
      <c r="I13" s="747">
        <v>0</v>
      </c>
      <c r="J13" s="749"/>
      <c r="K13" s="110">
        <f t="shared" si="0"/>
        <v>0</v>
      </c>
      <c r="L13" s="762"/>
    </row>
    <row r="14" spans="1:12" ht="12.75" customHeight="1" x14ac:dyDescent="0.25">
      <c r="A14" s="40" t="s">
        <v>867</v>
      </c>
      <c r="B14" s="170" t="s">
        <v>745</v>
      </c>
      <c r="C14" s="767">
        <v>3141627</v>
      </c>
      <c r="D14" s="747">
        <v>-3996742</v>
      </c>
      <c r="E14" s="747">
        <v>227553</v>
      </c>
      <c r="F14" s="747">
        <v>-16633</v>
      </c>
      <c r="G14" s="747">
        <v>-158458</v>
      </c>
      <c r="H14" s="747">
        <v>-46443</v>
      </c>
      <c r="I14" s="747">
        <v>621389</v>
      </c>
      <c r="J14" s="749"/>
      <c r="K14" s="110">
        <f>SUM(C14:J14)</f>
        <v>-227707</v>
      </c>
      <c r="L14" s="762"/>
    </row>
    <row r="15" spans="1:12" ht="12.75" customHeight="1" x14ac:dyDescent="0.25">
      <c r="A15" s="54" t="s">
        <v>1086</v>
      </c>
      <c r="B15" s="286">
        <v>1000</v>
      </c>
      <c r="C15" s="272">
        <f t="shared" ref="C15:I15" si="1">SUM(C6:C14)</f>
        <v>6288518</v>
      </c>
      <c r="D15" s="56">
        <f t="shared" si="1"/>
        <v>-3505974</v>
      </c>
      <c r="E15" s="56">
        <f t="shared" si="1"/>
        <v>227553</v>
      </c>
      <c r="F15" s="56">
        <f t="shared" si="1"/>
        <v>-16633</v>
      </c>
      <c r="G15" s="56">
        <f t="shared" si="1"/>
        <v>-158458</v>
      </c>
      <c r="H15" s="56">
        <f t="shared" si="1"/>
        <v>-46443</v>
      </c>
      <c r="I15" s="56">
        <f t="shared" si="1"/>
        <v>621389</v>
      </c>
      <c r="J15" s="236">
        <f t="shared" ref="J15" si="2">SUM(J6:J14)</f>
        <v>0</v>
      </c>
      <c r="K15" s="113">
        <f>SUM(K6:K14)</f>
        <v>3409952</v>
      </c>
      <c r="L15" s="161">
        <f>SUM(L6:L14)</f>
        <v>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B2:B4"/>
    <mergeCell ref="C3:C4"/>
    <mergeCell ref="D3:D4"/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</mergeCells>
  <phoneticPr fontId="5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="106" zoomScaleNormal="100" zoomScaleSheetLayoutView="106" workbookViewId="0">
      <pane xSplit="1" ySplit="3" topLeftCell="B4" activePane="bottomRight" state="frozen"/>
      <selection pane="topRight"/>
      <selection pane="bottomLeft"/>
      <selection pane="bottomRight" sqref="A1:J1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6" t="str">
        <f>muni&amp; " - "&amp;S71K&amp; " - "&amp;Head57</f>
        <v>NW385 Ramotshere Moiloa - Supporting Table SC5 Monthly Budget Statement - investment portfolio 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68"/>
    </row>
    <row r="2" spans="1:11" ht="54" customHeight="1" x14ac:dyDescent="0.25">
      <c r="A2" s="271" t="s">
        <v>1059</v>
      </c>
      <c r="B2" s="1007" t="s">
        <v>712</v>
      </c>
      <c r="C2" s="26" t="s">
        <v>139</v>
      </c>
      <c r="D2" s="1021" t="s">
        <v>752</v>
      </c>
      <c r="E2" s="1021" t="s">
        <v>753</v>
      </c>
      <c r="F2" s="1021" t="s">
        <v>675</v>
      </c>
      <c r="G2" s="1021" t="s">
        <v>69</v>
      </c>
      <c r="H2" s="1021" t="s">
        <v>676</v>
      </c>
      <c r="I2" s="1021" t="s">
        <v>1054</v>
      </c>
      <c r="J2" s="1023" t="s">
        <v>1055</v>
      </c>
      <c r="K2" s="285" t="s">
        <v>630</v>
      </c>
    </row>
    <row r="3" spans="1:11" ht="12.75" customHeight="1" x14ac:dyDescent="0.25">
      <c r="A3" s="35" t="s">
        <v>814</v>
      </c>
      <c r="B3" s="1009"/>
      <c r="C3" s="416" t="s">
        <v>140</v>
      </c>
      <c r="D3" s="1022"/>
      <c r="E3" s="1022"/>
      <c r="F3" s="1022"/>
      <c r="G3" s="1022"/>
      <c r="H3" s="1022"/>
      <c r="I3" s="1022"/>
      <c r="J3" s="1024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/>
      <c r="B5" s="170"/>
      <c r="C5" s="759"/>
      <c r="D5" s="747"/>
      <c r="E5" s="747"/>
      <c r="F5" s="747"/>
      <c r="G5" s="777"/>
      <c r="H5" s="747"/>
      <c r="I5" s="747"/>
      <c r="J5" s="749"/>
    </row>
    <row r="6" spans="1:11" ht="12.75" customHeight="1" x14ac:dyDescent="0.25">
      <c r="A6" s="790"/>
      <c r="B6" s="170"/>
      <c r="C6" s="759"/>
      <c r="D6" s="747"/>
      <c r="E6" s="747"/>
      <c r="F6" s="747"/>
      <c r="G6" s="777"/>
      <c r="H6" s="747"/>
      <c r="I6" s="747"/>
      <c r="J6" s="749"/>
    </row>
    <row r="7" spans="1:11" ht="12.75" customHeight="1" x14ac:dyDescent="0.25">
      <c r="A7" s="790"/>
      <c r="B7" s="170"/>
      <c r="C7" s="759"/>
      <c r="D7" s="747"/>
      <c r="E7" s="747"/>
      <c r="F7" s="747"/>
      <c r="G7" s="777"/>
      <c r="H7" s="747"/>
      <c r="I7" s="747"/>
      <c r="J7" s="749"/>
    </row>
    <row r="8" spans="1:11" ht="12.75" customHeight="1" x14ac:dyDescent="0.25">
      <c r="A8" s="790"/>
      <c r="B8" s="170"/>
      <c r="C8" s="759"/>
      <c r="D8" s="747"/>
      <c r="E8" s="747"/>
      <c r="F8" s="747"/>
      <c r="G8" s="777"/>
      <c r="H8" s="747"/>
      <c r="I8" s="747"/>
      <c r="J8" s="749"/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0</v>
      </c>
      <c r="G12" s="559"/>
      <c r="H12" s="618">
        <f>SUM(H5:H11)</f>
        <v>0</v>
      </c>
      <c r="I12" s="618">
        <f>SUM(I5:I11)</f>
        <v>0</v>
      </c>
      <c r="J12" s="620">
        <f>SUM(J5:J11)</f>
        <v>0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0</v>
      </c>
      <c r="G24" s="727"/>
      <c r="H24" s="56">
        <f>H12+H22</f>
        <v>0</v>
      </c>
      <c r="I24" s="56">
        <f>I12+I22</f>
        <v>0</v>
      </c>
      <c r="J24" s="236">
        <f>J12+J22</f>
        <v>0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5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100" zoomScaleSheetLayoutView="100" workbookViewId="0">
      <pane xSplit="2" ySplit="4" topLeftCell="C50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"&amp;S71L&amp; " - "&amp;Head57</f>
        <v>NW385 Ramotshere Moiloa - Supporting Table SC6 Monthly Budget Statement - transfers and grant receipts 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139531000</v>
      </c>
      <c r="E8" s="51">
        <f t="shared" si="0"/>
        <v>137060000</v>
      </c>
      <c r="F8" s="51">
        <f t="shared" si="0"/>
        <v>0</v>
      </c>
      <c r="G8" s="51">
        <f t="shared" si="0"/>
        <v>133980508</v>
      </c>
      <c r="H8" s="51">
        <f t="shared" si="0"/>
        <v>46510333.333333328</v>
      </c>
      <c r="I8" s="51">
        <f t="shared" si="0"/>
        <v>82776333.333333343</v>
      </c>
      <c r="J8" s="346">
        <f t="shared" ref="J8:J38" si="1">IF(I8=0,"",I8/H8)</f>
        <v>1.7797407027828944</v>
      </c>
      <c r="K8" s="195">
        <f>SUM(K9:K19)</f>
        <v>0</v>
      </c>
    </row>
    <row r="9" spans="1:11" ht="12.75" customHeight="1" x14ac:dyDescent="0.25">
      <c r="A9" s="792" t="s">
        <v>1157</v>
      </c>
      <c r="B9" s="170"/>
      <c r="C9" s="793"/>
      <c r="D9" s="794">
        <v>127415000</v>
      </c>
      <c r="E9" s="748">
        <v>124944000</v>
      </c>
      <c r="F9" s="748"/>
      <c r="G9" s="748">
        <v>125248000</v>
      </c>
      <c r="H9" s="747">
        <v>42471666.666666664</v>
      </c>
      <c r="I9" s="517">
        <f t="shared" ref="I9:I19" si="2">G9-H9</f>
        <v>82776333.333333343</v>
      </c>
      <c r="J9" s="561">
        <f t="shared" si="1"/>
        <v>1.9489777498724643</v>
      </c>
      <c r="K9" s="750"/>
    </row>
    <row r="10" spans="1:11" ht="12.75" customHeight="1" x14ac:dyDescent="0.25">
      <c r="A10" s="792" t="s">
        <v>707</v>
      </c>
      <c r="B10" s="170"/>
      <c r="C10" s="762"/>
      <c r="D10" s="759">
        <v>930000</v>
      </c>
      <c r="E10" s="747">
        <v>930000</v>
      </c>
      <c r="F10" s="747"/>
      <c r="G10" s="747">
        <v>930000</v>
      </c>
      <c r="H10" s="747">
        <v>310000</v>
      </c>
      <c r="I10" s="45"/>
      <c r="J10" s="125"/>
      <c r="K10" s="749"/>
    </row>
    <row r="11" spans="1:11" ht="12.75" customHeight="1" x14ac:dyDescent="0.25">
      <c r="A11" s="792" t="s">
        <v>1159</v>
      </c>
      <c r="B11" s="170"/>
      <c r="C11" s="762"/>
      <c r="D11" s="759">
        <v>1675000</v>
      </c>
      <c r="E11" s="747">
        <v>1675000</v>
      </c>
      <c r="F11" s="747"/>
      <c r="G11" s="747">
        <v>1675000</v>
      </c>
      <c r="H11" s="747">
        <v>558333.33333333337</v>
      </c>
      <c r="I11" s="45"/>
      <c r="J11" s="125"/>
      <c r="K11" s="749"/>
    </row>
    <row r="12" spans="1:11" ht="12.75" customHeight="1" x14ac:dyDescent="0.25">
      <c r="A12" s="792" t="s">
        <v>1166</v>
      </c>
      <c r="B12" s="170"/>
      <c r="C12" s="762"/>
      <c r="D12" s="759">
        <v>1286000</v>
      </c>
      <c r="E12" s="747">
        <v>1286000</v>
      </c>
      <c r="F12" s="747"/>
      <c r="G12" s="747">
        <v>1286000</v>
      </c>
      <c r="H12" s="747">
        <v>428666.66666666669</v>
      </c>
      <c r="I12" s="45"/>
      <c r="J12" s="125"/>
      <c r="K12" s="749"/>
    </row>
    <row r="13" spans="1:11" ht="12.75" customHeight="1" x14ac:dyDescent="0.25">
      <c r="A13" s="792" t="s">
        <v>1337</v>
      </c>
      <c r="B13" s="170"/>
      <c r="C13" s="762"/>
      <c r="D13" s="759">
        <v>8225000</v>
      </c>
      <c r="E13" s="747">
        <v>8225000</v>
      </c>
      <c r="F13" s="747"/>
      <c r="G13" s="747">
        <v>4841508</v>
      </c>
      <c r="H13" s="747">
        <v>2741666.6666666665</v>
      </c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>
        <v>0</v>
      </c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3">SUM(C21:C26)</f>
        <v>0</v>
      </c>
      <c r="D20" s="478">
        <f t="shared" si="3"/>
        <v>1000000</v>
      </c>
      <c r="E20" s="433">
        <f t="shared" si="3"/>
        <v>1000000</v>
      </c>
      <c r="F20" s="433">
        <f t="shared" si="3"/>
        <v>0</v>
      </c>
      <c r="G20" s="433">
        <f t="shared" si="3"/>
        <v>1000000</v>
      </c>
      <c r="H20" s="433">
        <f t="shared" si="3"/>
        <v>333333.33333333331</v>
      </c>
      <c r="I20" s="433">
        <f t="shared" si="3"/>
        <v>666666.66666666674</v>
      </c>
      <c r="J20" s="562">
        <f t="shared" si="1"/>
        <v>2.0000000000000004</v>
      </c>
      <c r="K20" s="516">
        <f>SUM(K21:K26)</f>
        <v>0</v>
      </c>
    </row>
    <row r="21" spans="1:11" ht="12.75" customHeight="1" x14ac:dyDescent="0.25">
      <c r="A21" s="792" t="s">
        <v>922</v>
      </c>
      <c r="B21" s="170"/>
      <c r="C21" s="793"/>
      <c r="D21" s="794">
        <v>1000000</v>
      </c>
      <c r="E21" s="748">
        <v>1000000</v>
      </c>
      <c r="F21" s="748"/>
      <c r="G21" s="748">
        <v>1000000</v>
      </c>
      <c r="H21" s="748">
        <v>333333.33333333331</v>
      </c>
      <c r="I21" s="517">
        <f t="shared" ref="I21:I37" si="4">G21-H21</f>
        <v>666666.66666666674</v>
      </c>
      <c r="J21" s="561">
        <f t="shared" si="1"/>
        <v>2.0000000000000004</v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4"/>
        <v>0</v>
      </c>
      <c r="J26" s="125" t="str">
        <f t="shared" si="1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0</v>
      </c>
      <c r="H27" s="433">
        <f t="shared" si="5"/>
        <v>0</v>
      </c>
      <c r="I27" s="517">
        <f t="shared" si="4"/>
        <v>0</v>
      </c>
      <c r="J27" s="561" t="str">
        <f t="shared" si="1"/>
        <v/>
      </c>
      <c r="K27" s="516">
        <f>SUM(K28:K29)</f>
        <v>0</v>
      </c>
    </row>
    <row r="28" spans="1:11" ht="12.75" customHeight="1" x14ac:dyDescent="0.25">
      <c r="A28" s="795" t="s">
        <v>1364</v>
      </c>
      <c r="B28" s="170"/>
      <c r="C28" s="797"/>
      <c r="D28" s="798"/>
      <c r="E28" s="751"/>
      <c r="F28" s="751"/>
      <c r="G28" s="751">
        <v>0</v>
      </c>
      <c r="H28" s="751">
        <f>D28/4</f>
        <v>0</v>
      </c>
      <c r="I28" s="517">
        <f t="shared" si="4"/>
        <v>0</v>
      </c>
      <c r="J28" s="561" t="str">
        <f t="shared" si="1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1"/>
        <v/>
      </c>
      <c r="K31" s="752"/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7">C8+C20+C27+C30</f>
        <v>0</v>
      </c>
      <c r="D38" s="75">
        <f t="shared" si="7"/>
        <v>140531000</v>
      </c>
      <c r="E38" s="74">
        <f t="shared" si="7"/>
        <v>138060000</v>
      </c>
      <c r="F38" s="74">
        <f t="shared" si="7"/>
        <v>0</v>
      </c>
      <c r="G38" s="74">
        <f t="shared" si="7"/>
        <v>134980508</v>
      </c>
      <c r="H38" s="74">
        <f t="shared" si="7"/>
        <v>46843666.666666664</v>
      </c>
      <c r="I38" s="74">
        <f t="shared" si="7"/>
        <v>83443000.000000015</v>
      </c>
      <c r="J38" s="307">
        <f t="shared" si="1"/>
        <v>1.781308038795711</v>
      </c>
      <c r="K38" s="146">
        <f>K8+K20+K27+K30</f>
        <v>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35982000</v>
      </c>
      <c r="E41" s="45">
        <f t="shared" si="8"/>
        <v>28122000</v>
      </c>
      <c r="F41" s="45">
        <f t="shared" si="8"/>
        <v>0</v>
      </c>
      <c r="G41" s="45">
        <f t="shared" si="8"/>
        <v>28182000</v>
      </c>
      <c r="H41" s="45">
        <f t="shared" si="8"/>
        <v>11994000</v>
      </c>
      <c r="I41" s="45">
        <f t="shared" si="8"/>
        <v>16188000</v>
      </c>
      <c r="J41" s="346">
        <f t="shared" ref="J41:J71" si="9">IF(I41=0,"",I41/H41)</f>
        <v>1.3496748374187093</v>
      </c>
      <c r="K41" s="145">
        <f t="shared" si="8"/>
        <v>0</v>
      </c>
    </row>
    <row r="42" spans="1:11" ht="12.75" customHeight="1" x14ac:dyDescent="0.25">
      <c r="A42" s="792" t="s">
        <v>1338</v>
      </c>
      <c r="B42" s="170"/>
      <c r="C42" s="793"/>
      <c r="D42" s="794">
        <v>35982000</v>
      </c>
      <c r="E42" s="748">
        <f>35982000-7860000</f>
        <v>28122000</v>
      </c>
      <c r="F42" s="748">
        <v>0</v>
      </c>
      <c r="G42" s="748">
        <f>28122000+60000</f>
        <v>28182000</v>
      </c>
      <c r="H42" s="748">
        <v>11994000</v>
      </c>
      <c r="I42" s="517">
        <f t="shared" ref="I42:I51" si="10">G42-H42</f>
        <v>16188000</v>
      </c>
      <c r="J42" s="561">
        <f t="shared" si="9"/>
        <v>1.3496748374187093</v>
      </c>
      <c r="K42" s="750"/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 x14ac:dyDescent="0.25">
      <c r="A51" s="792" t="s">
        <v>671</v>
      </c>
      <c r="B51" s="170"/>
      <c r="C51" s="762"/>
      <c r="D51" s="759"/>
      <c r="E51" s="747"/>
      <c r="F51" s="747"/>
      <c r="G51" s="747"/>
      <c r="H51" s="747"/>
      <c r="I51" s="45">
        <f t="shared" si="10"/>
        <v>0</v>
      </c>
      <c r="J51" s="125" t="str">
        <f t="shared" si="9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0</v>
      </c>
      <c r="F59" s="433">
        <f t="shared" si="13"/>
        <v>0</v>
      </c>
      <c r="G59" s="433">
        <f t="shared" si="13"/>
        <v>0</v>
      </c>
      <c r="H59" s="433">
        <f t="shared" si="13"/>
        <v>0</v>
      </c>
      <c r="I59" s="517">
        <f t="shared" si="12"/>
        <v>0</v>
      </c>
      <c r="J59" s="561" t="str">
        <f t="shared" si="9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/>
      <c r="D60" s="798"/>
      <c r="E60" s="751"/>
      <c r="F60" s="751"/>
      <c r="G60" s="751"/>
      <c r="H60" s="751"/>
      <c r="I60" s="517">
        <f t="shared" si="12"/>
        <v>0</v>
      </c>
      <c r="J60" s="561" t="str">
        <f t="shared" si="9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15000000</v>
      </c>
      <c r="E62" s="433">
        <f t="shared" si="14"/>
        <v>15000000</v>
      </c>
      <c r="F62" s="433">
        <f t="shared" si="14"/>
        <v>0</v>
      </c>
      <c r="G62" s="433">
        <f t="shared" si="14"/>
        <v>15000000</v>
      </c>
      <c r="H62" s="433">
        <f t="shared" si="14"/>
        <v>5000000</v>
      </c>
      <c r="I62" s="517">
        <f t="shared" si="12"/>
        <v>10000000</v>
      </c>
      <c r="J62" s="561">
        <f t="shared" si="9"/>
        <v>2</v>
      </c>
      <c r="K62" s="516">
        <f>SUM(K63:K68)</f>
        <v>0</v>
      </c>
    </row>
    <row r="63" spans="1:11" ht="12.75" customHeight="1" x14ac:dyDescent="0.25">
      <c r="A63" s="795" t="s">
        <v>1339</v>
      </c>
      <c r="B63" s="170"/>
      <c r="C63" s="797"/>
      <c r="D63" s="798">
        <v>15000000</v>
      </c>
      <c r="E63" s="751">
        <v>15000000</v>
      </c>
      <c r="F63" s="751">
        <v>0</v>
      </c>
      <c r="G63" s="751">
        <v>15000000</v>
      </c>
      <c r="H63" s="751">
        <v>5000000</v>
      </c>
      <c r="I63" s="517">
        <f t="shared" si="12"/>
        <v>10000000</v>
      </c>
      <c r="J63" s="561">
        <f>IF(I63=0,"",I63/H63)</f>
        <v>2</v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 t="s">
        <v>1373</v>
      </c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5">D41+D52+D59+D62</f>
        <v>50982000</v>
      </c>
      <c r="E69" s="433">
        <f t="shared" si="15"/>
        <v>43122000</v>
      </c>
      <c r="F69" s="433">
        <f t="shared" si="15"/>
        <v>0</v>
      </c>
      <c r="G69" s="433">
        <f t="shared" si="15"/>
        <v>43182000</v>
      </c>
      <c r="H69" s="433">
        <f t="shared" si="15"/>
        <v>16994000</v>
      </c>
      <c r="I69" s="433">
        <f t="shared" si="15"/>
        <v>26188000</v>
      </c>
      <c r="J69" s="562">
        <f t="shared" si="9"/>
        <v>1.541014475697305</v>
      </c>
      <c r="K69" s="516">
        <f t="shared" si="15"/>
        <v>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6">C38+C69</f>
        <v>0</v>
      </c>
      <c r="D71" s="308">
        <f t="shared" si="16"/>
        <v>191513000</v>
      </c>
      <c r="E71" s="309">
        <f t="shared" si="16"/>
        <v>181182000</v>
      </c>
      <c r="F71" s="309">
        <f t="shared" si="16"/>
        <v>0</v>
      </c>
      <c r="G71" s="309">
        <f t="shared" si="16"/>
        <v>178162508</v>
      </c>
      <c r="H71" s="309">
        <f t="shared" si="16"/>
        <v>63837666.666666664</v>
      </c>
      <c r="I71" s="309">
        <f t="shared" si="16"/>
        <v>109631000.00000001</v>
      </c>
      <c r="J71" s="310">
        <f t="shared" si="9"/>
        <v>1.7173403372094849</v>
      </c>
      <c r="K71" s="311">
        <f t="shared" si="16"/>
        <v>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"&amp;S71M&amp; " - "&amp;Head57</f>
        <v>NW385 Ramotshere Moiloa - Supporting Table SC7(1) Monthly Budget Statement - transfers and grant expenditure 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139531000</v>
      </c>
      <c r="E8" s="51">
        <f t="shared" si="0"/>
        <v>139531000</v>
      </c>
      <c r="F8" s="51">
        <f t="shared" si="0"/>
        <v>81670</v>
      </c>
      <c r="G8" s="51">
        <f t="shared" si="0"/>
        <v>134684781.40000001</v>
      </c>
      <c r="H8" s="51">
        <f t="shared" si="0"/>
        <v>46510333.333333328</v>
      </c>
      <c r="I8" s="51">
        <f t="shared" si="0"/>
        <v>88174448.066666663</v>
      </c>
      <c r="J8" s="346">
        <f t="shared" ref="J8:J28" si="1">IF(I8=0,"",I8/H8)</f>
        <v>1.8958033999612991</v>
      </c>
      <c r="K8" s="195">
        <f>SUM(K9:K15)</f>
        <v>0</v>
      </c>
    </row>
    <row r="9" spans="1:11" x14ac:dyDescent="0.25">
      <c r="A9" s="399" t="str">
        <f>'SC6'!A9</f>
        <v>Local Government Equitable Share</v>
      </c>
      <c r="B9" s="170"/>
      <c r="C9" s="793"/>
      <c r="D9" s="794">
        <v>127415000</v>
      </c>
      <c r="E9" s="748">
        <v>127415000</v>
      </c>
      <c r="F9" s="748"/>
      <c r="G9" s="748">
        <v>125248000</v>
      </c>
      <c r="H9" s="747">
        <v>42471666.666666664</v>
      </c>
      <c r="I9" s="517">
        <f t="shared" ref="I9:I15" si="2">G9-H9</f>
        <v>82776333.333333343</v>
      </c>
      <c r="J9" s="561">
        <f t="shared" si="1"/>
        <v>1.9489777498724643</v>
      </c>
      <c r="K9" s="750"/>
    </row>
    <row r="10" spans="1:11" ht="12.75" customHeight="1" x14ac:dyDescent="0.25">
      <c r="A10" s="399" t="str">
        <f>'SC6'!A10</f>
        <v>Municipal Systems Improvement</v>
      </c>
      <c r="B10" s="170"/>
      <c r="C10" s="762"/>
      <c r="D10" s="759">
        <v>930000</v>
      </c>
      <c r="E10" s="747">
        <v>930000</v>
      </c>
      <c r="F10" s="747"/>
      <c r="G10" s="747">
        <v>444330</v>
      </c>
      <c r="H10" s="747">
        <v>310000</v>
      </c>
      <c r="I10" s="45">
        <f t="shared" si="2"/>
        <v>134330</v>
      </c>
      <c r="J10" s="125">
        <f t="shared" si="1"/>
        <v>0.43332258064516127</v>
      </c>
      <c r="K10" s="749"/>
    </row>
    <row r="11" spans="1:11" ht="12.75" customHeight="1" x14ac:dyDescent="0.25">
      <c r="A11" s="399" t="str">
        <f>'SC6'!A11</f>
        <v xml:space="preserve">Finance Management </v>
      </c>
      <c r="B11" s="170"/>
      <c r="C11" s="762"/>
      <c r="D11" s="759">
        <v>1675000</v>
      </c>
      <c r="E11" s="747">
        <v>1675000</v>
      </c>
      <c r="F11" s="747">
        <v>81670</v>
      </c>
      <c r="G11" s="747">
        <v>1535993.4</v>
      </c>
      <c r="H11" s="747">
        <v>558333.33333333337</v>
      </c>
      <c r="I11" s="45">
        <f t="shared" si="2"/>
        <v>977660.06666666653</v>
      </c>
      <c r="J11" s="125">
        <f t="shared" si="1"/>
        <v>1.7510329552238801</v>
      </c>
      <c r="K11" s="749"/>
    </row>
    <row r="12" spans="1:11" ht="12.75" customHeight="1" x14ac:dyDescent="0.25">
      <c r="A12" s="399" t="str">
        <f>'SC6'!A12</f>
        <v>EPWP Incentive</v>
      </c>
      <c r="B12" s="170"/>
      <c r="C12" s="762"/>
      <c r="D12" s="759">
        <v>1286000</v>
      </c>
      <c r="E12" s="747">
        <v>1286000</v>
      </c>
      <c r="F12" s="747"/>
      <c r="G12" s="747">
        <v>2590300</v>
      </c>
      <c r="H12" s="747">
        <v>428666.66666666669</v>
      </c>
      <c r="I12" s="45">
        <f t="shared" si="2"/>
        <v>2161633.3333333335</v>
      </c>
      <c r="J12" s="125">
        <f t="shared" si="1"/>
        <v>5.0426905132192843</v>
      </c>
      <c r="K12" s="749"/>
    </row>
    <row r="13" spans="1:11" ht="12.75" customHeight="1" x14ac:dyDescent="0.25">
      <c r="A13" s="399" t="str">
        <f>'SC6'!A13</f>
        <v>LG-Seta</v>
      </c>
      <c r="B13" s="170"/>
      <c r="C13" s="762"/>
      <c r="D13" s="759">
        <v>8225000</v>
      </c>
      <c r="E13" s="747">
        <v>8225000</v>
      </c>
      <c r="F13" s="747"/>
      <c r="G13" s="747">
        <v>4866158</v>
      </c>
      <c r="H13" s="747">
        <v>2741666.6666666665</v>
      </c>
      <c r="I13" s="45">
        <f t="shared" si="2"/>
        <v>2124491.3333333335</v>
      </c>
      <c r="J13" s="125">
        <f t="shared" si="1"/>
        <v>0.77489045592705175</v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1000000</v>
      </c>
      <c r="E16" s="433">
        <f t="shared" si="3"/>
        <v>1000000</v>
      </c>
      <c r="F16" s="433">
        <f t="shared" si="3"/>
        <v>74811.959999999992</v>
      </c>
      <c r="G16" s="433">
        <f t="shared" si="3"/>
        <v>746101</v>
      </c>
      <c r="H16" s="433">
        <f t="shared" si="3"/>
        <v>333333.33333333331</v>
      </c>
      <c r="I16" s="433">
        <f t="shared" si="3"/>
        <v>412767.66666666669</v>
      </c>
      <c r="J16" s="562">
        <f t="shared" si="1"/>
        <v>1.2383030000000002</v>
      </c>
      <c r="K16" s="516">
        <f>SUM(K17:K21)</f>
        <v>0</v>
      </c>
    </row>
    <row r="17" spans="1:11" ht="12.75" customHeight="1" x14ac:dyDescent="0.25">
      <c r="A17" s="399" t="str">
        <f>'SC6'!A21</f>
        <v>Sport and Recreation</v>
      </c>
      <c r="B17" s="170"/>
      <c r="C17" s="793"/>
      <c r="D17" s="794">
        <v>1000000</v>
      </c>
      <c r="E17" s="748">
        <v>1000000</v>
      </c>
      <c r="F17" s="748">
        <v>74811.959999999992</v>
      </c>
      <c r="G17" s="748">
        <v>746101</v>
      </c>
      <c r="H17" s="748">
        <v>333333.33333333331</v>
      </c>
      <c r="I17" s="517">
        <f t="shared" ref="I17:I27" si="4">G17-H17</f>
        <v>412767.66666666669</v>
      </c>
      <c r="J17" s="561">
        <f t="shared" si="1"/>
        <v>1.2383030000000002</v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Water Grant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140531000</v>
      </c>
      <c r="E28" s="74">
        <f t="shared" si="7"/>
        <v>140531000</v>
      </c>
      <c r="F28" s="74">
        <f t="shared" si="7"/>
        <v>156481.96</v>
      </c>
      <c r="G28" s="74">
        <f t="shared" si="7"/>
        <v>135430882.40000001</v>
      </c>
      <c r="H28" s="74">
        <f t="shared" si="7"/>
        <v>46843666.666666664</v>
      </c>
      <c r="I28" s="74">
        <f t="shared" si="7"/>
        <v>88587215.733333334</v>
      </c>
      <c r="J28" s="307">
        <f t="shared" si="1"/>
        <v>1.8911247141200163</v>
      </c>
      <c r="K28" s="146">
        <f>K8+K16+K22+K25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35982000</v>
      </c>
      <c r="E31" s="45">
        <f t="shared" si="8"/>
        <v>28122000</v>
      </c>
      <c r="F31" s="45">
        <f t="shared" si="8"/>
        <v>2022835</v>
      </c>
      <c r="G31" s="45">
        <f t="shared" si="8"/>
        <v>29697618.944200002</v>
      </c>
      <c r="H31" s="45">
        <f t="shared" si="8"/>
        <v>11994000</v>
      </c>
      <c r="I31" s="45">
        <f t="shared" si="8"/>
        <v>17703618.944200002</v>
      </c>
      <c r="J31" s="346">
        <f t="shared" ref="J31:J46" si="9">IF(I31=0,"",I31/H31)</f>
        <v>1.4760395984825747</v>
      </c>
      <c r="K31" s="145">
        <f t="shared" si="8"/>
        <v>0</v>
      </c>
    </row>
    <row r="32" spans="1:11" ht="12.75" customHeight="1" x14ac:dyDescent="0.25">
      <c r="A32" s="399" t="str">
        <f>'SC6'!A42</f>
        <v xml:space="preserve"> Municipal Infrastructure Grant (MIG)</v>
      </c>
      <c r="B32" s="170"/>
      <c r="C32" s="793"/>
      <c r="D32" s="794">
        <v>35982000</v>
      </c>
      <c r="E32" s="748">
        <v>28122000</v>
      </c>
      <c r="F32" s="748">
        <v>2022835</v>
      </c>
      <c r="G32" s="748">
        <v>29697618.944200002</v>
      </c>
      <c r="H32" s="748">
        <v>11994000</v>
      </c>
      <c r="I32" s="517">
        <f t="shared" ref="I32:I37" si="10">G32-H32</f>
        <v>17703618.944200002</v>
      </c>
      <c r="J32" s="561">
        <f t="shared" si="9"/>
        <v>1.4760395984825747</v>
      </c>
      <c r="K32" s="750"/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15000000</v>
      </c>
      <c r="E44" s="433">
        <f t="shared" si="14"/>
        <v>15000000</v>
      </c>
      <c r="F44" s="433">
        <f t="shared" si="14"/>
        <v>783693</v>
      </c>
      <c r="G44" s="433">
        <f t="shared" si="14"/>
        <v>17855410</v>
      </c>
      <c r="H44" s="433">
        <f t="shared" si="14"/>
        <v>5000000</v>
      </c>
      <c r="I44" s="517">
        <f t="shared" si="12"/>
        <v>12855410</v>
      </c>
      <c r="J44" s="561">
        <f t="shared" si="9"/>
        <v>2.5710820000000001</v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>
        <v>15000000</v>
      </c>
      <c r="E45" s="751">
        <v>15000000</v>
      </c>
      <c r="F45" s="751">
        <v>783693</v>
      </c>
      <c r="G45" s="751">
        <v>17855410</v>
      </c>
      <c r="H45" s="751">
        <v>5000000</v>
      </c>
      <c r="I45" s="517">
        <f t="shared" si="12"/>
        <v>12855410</v>
      </c>
      <c r="J45" s="561">
        <f t="shared" si="9"/>
        <v>2.5710820000000001</v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50982000</v>
      </c>
      <c r="E47" s="74">
        <f t="shared" si="15"/>
        <v>43122000</v>
      </c>
      <c r="F47" s="74">
        <f t="shared" si="15"/>
        <v>2806528</v>
      </c>
      <c r="G47" s="74">
        <f t="shared" si="15"/>
        <v>47553028.944200002</v>
      </c>
      <c r="H47" s="74">
        <f t="shared" si="15"/>
        <v>16994000</v>
      </c>
      <c r="I47" s="74">
        <f t="shared" si="15"/>
        <v>30559028.944200002</v>
      </c>
      <c r="J47" s="307">
        <f>IF(I47=0,"",I47/H47)</f>
        <v>1.7982246054019067</v>
      </c>
      <c r="K47" s="146">
        <f t="shared" si="15"/>
        <v>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191513000</v>
      </c>
      <c r="E49" s="56">
        <f t="shared" si="16"/>
        <v>183653000</v>
      </c>
      <c r="F49" s="56">
        <f t="shared" si="16"/>
        <v>2963009.96</v>
      </c>
      <c r="G49" s="56">
        <f t="shared" si="16"/>
        <v>182983911.34420002</v>
      </c>
      <c r="H49" s="56">
        <f t="shared" si="16"/>
        <v>63837666.666666664</v>
      </c>
      <c r="I49" s="56">
        <f t="shared" si="16"/>
        <v>119146244.67753333</v>
      </c>
      <c r="J49" s="293">
        <f>IF(I49=0,"",I49/H49)</f>
        <v>1.8663941039647438</v>
      </c>
      <c r="K49" s="236">
        <f t="shared" si="16"/>
        <v>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sqref="A1:G1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6" t="str">
        <f>muni&amp; " - "&amp;S71T&amp; " - "&amp;Head57</f>
        <v>NW385 Ramotshere Moiloa - Supporting Table SC7(2) Monthly Budget Statement - Expenditure against approved rollovers - M10 April</v>
      </c>
      <c r="B1" s="996"/>
      <c r="C1" s="996"/>
      <c r="D1" s="996"/>
      <c r="E1" s="996"/>
      <c r="F1" s="996"/>
      <c r="G1" s="996"/>
    </row>
    <row r="2" spans="1:7" ht="21.75" customHeight="1" x14ac:dyDescent="0.25">
      <c r="A2" s="985" t="str">
        <f>desc</f>
        <v>Description</v>
      </c>
      <c r="B2" s="978" t="str">
        <f>head27</f>
        <v>Ref</v>
      </c>
      <c r="C2" s="980" t="str">
        <f>Head2</f>
        <v>Budget Year 2015/16</v>
      </c>
      <c r="D2" s="981"/>
      <c r="E2" s="981"/>
      <c r="F2" s="981"/>
      <c r="G2" s="982"/>
    </row>
    <row r="3" spans="1:7" ht="39.75" customHeight="1" x14ac:dyDescent="0.25">
      <c r="A3" s="986"/>
      <c r="B3" s="989"/>
      <c r="C3" s="200" t="str">
        <f>"Approved Rollover " &amp;Head1</f>
        <v>Approved Rollover 2014/15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2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31"/>
      <c r="F4" s="298"/>
      <c r="G4" s="933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1272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4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5" t="str">
        <f t="shared" ref="G9:G49" si="0">IF(F9=0,"",F9/C9)</f>
        <v/>
      </c>
    </row>
    <row r="10" spans="1:7" ht="12.75" customHeight="1" x14ac:dyDescent="0.25">
      <c r="A10" s="399" t="str">
        <f>'SC6'!A10</f>
        <v>Municipal Systems Improvement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 t="str">
        <f>'SC6'!A13</f>
        <v>LG-Seta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6" t="str">
        <f t="shared" si="0"/>
        <v/>
      </c>
    </row>
    <row r="17" spans="1:7" ht="12.75" customHeight="1" x14ac:dyDescent="0.25">
      <c r="A17" s="399" t="str">
        <f>'SC6'!A21</f>
        <v>Sport and Recreation</v>
      </c>
      <c r="B17" s="170"/>
      <c r="C17" s="794"/>
      <c r="D17" s="748"/>
      <c r="E17" s="748"/>
      <c r="F17" s="517">
        <f>C17-E17</f>
        <v>0</v>
      </c>
      <c r="G17" s="935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5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5" t="str">
        <f t="shared" si="0"/>
        <v/>
      </c>
    </row>
    <row r="24" spans="1:7" ht="12.75" customHeight="1" x14ac:dyDescent="0.25">
      <c r="A24" s="401" t="str">
        <f>'SC6'!A28</f>
        <v>Water Grant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5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5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1273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7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1274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16600000</v>
      </c>
      <c r="D31" s="45">
        <f>SUM(D32:D37)</f>
        <v>0</v>
      </c>
      <c r="E31" s="45">
        <f>SUM(E32:E37)</f>
        <v>9219386</v>
      </c>
      <c r="F31" s="45">
        <f>SUM(F32:F37)</f>
        <v>7380614</v>
      </c>
      <c r="G31" s="934">
        <f t="shared" si="0"/>
        <v>0.44461530120481929</v>
      </c>
    </row>
    <row r="32" spans="1:7" ht="12.75" customHeight="1" x14ac:dyDescent="0.25">
      <c r="A32" s="399" t="str">
        <f>'SC6'!A42</f>
        <v xml:space="preserve"> Municipal Infrastructure Grant (MIG)</v>
      </c>
      <c r="B32" s="170"/>
      <c r="C32" s="794">
        <v>16600000</v>
      </c>
      <c r="D32" s="748"/>
      <c r="E32" s="748">
        <v>9219386</v>
      </c>
      <c r="F32" s="517">
        <f t="shared" ref="F32:F37" si="2">C32-E32</f>
        <v>7380614</v>
      </c>
      <c r="G32" s="935">
        <f t="shared" si="0"/>
        <v>0.44461530120481929</v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5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5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5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5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1500000</v>
      </c>
      <c r="D44" s="433">
        <f>SUM(D45:D46)</f>
        <v>0</v>
      </c>
      <c r="E44" s="433">
        <f>SUM(E45:E46)</f>
        <v>1500000</v>
      </c>
      <c r="F44" s="517">
        <f>SUM(F45:F46)</f>
        <v>0</v>
      </c>
      <c r="G44" s="935" t="str">
        <f t="shared" si="0"/>
        <v/>
      </c>
    </row>
    <row r="45" spans="1:7" ht="12.75" customHeight="1" x14ac:dyDescent="0.25">
      <c r="A45" s="400"/>
      <c r="B45" s="170"/>
      <c r="C45" s="798">
        <v>1500000</v>
      </c>
      <c r="D45" s="751"/>
      <c r="E45" s="751">
        <v>1500000</v>
      </c>
      <c r="F45" s="517">
        <f>C45-E45</f>
        <v>0</v>
      </c>
      <c r="G45" s="935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1275</v>
      </c>
      <c r="B47" s="234"/>
      <c r="C47" s="75">
        <f>C31+C38+C41+C44</f>
        <v>18100000</v>
      </c>
      <c r="D47" s="74">
        <f>D31+D38+D41+D44</f>
        <v>0</v>
      </c>
      <c r="E47" s="74">
        <f>E31+E38+E41+E44</f>
        <v>10719386</v>
      </c>
      <c r="F47" s="74">
        <f>F31+F38+F41+F44</f>
        <v>7380614</v>
      </c>
      <c r="G47" s="937">
        <f t="shared" si="0"/>
        <v>0.40776872928176794</v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1276</v>
      </c>
      <c r="B49" s="286"/>
      <c r="C49" s="57">
        <f>C28+C47</f>
        <v>18100000</v>
      </c>
      <c r="D49" s="56">
        <f>D28+D47</f>
        <v>0</v>
      </c>
      <c r="E49" s="56">
        <f>E28+E47</f>
        <v>10719386</v>
      </c>
      <c r="F49" s="56">
        <f>F28+F47</f>
        <v>7380614</v>
      </c>
      <c r="G49" s="938">
        <f t="shared" si="0"/>
        <v>0.40776872928176794</v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I40" sqref="I40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"&amp;S71N&amp; " - "&amp;Head57</f>
        <v>NW385 Ramotshere Moiloa - Supporting Table SC8 Monthly Budget Statement - councillor and staff benefits 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">
        <v>797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/>
      <c r="D7" s="759">
        <v>7338193.0606656503</v>
      </c>
      <c r="E7" s="747">
        <v>7338193.0600000005</v>
      </c>
      <c r="F7" s="747">
        <f>497669-158216</f>
        <v>339453</v>
      </c>
      <c r="G7" s="747">
        <v>1674150</v>
      </c>
      <c r="H7" s="747">
        <v>2446064.3535552169</v>
      </c>
      <c r="I7" s="45">
        <f t="shared" ref="I7:I14" si="0">G7-H7</f>
        <v>-771914.35355521692</v>
      </c>
      <c r="J7" s="333">
        <f t="shared" ref="J7:J14" si="1">IF(I7=0,"",I7/H7)</f>
        <v>-0.31557401686234576</v>
      </c>
      <c r="K7" s="749"/>
    </row>
    <row r="8" spans="1:11" ht="12.75" customHeight="1" x14ac:dyDescent="0.25">
      <c r="A8" s="521" t="s">
        <v>1221</v>
      </c>
      <c r="B8" s="170"/>
      <c r="C8" s="762"/>
      <c r="D8" s="759">
        <v>1053815.1822500022</v>
      </c>
      <c r="E8" s="747">
        <v>0</v>
      </c>
      <c r="F8" s="747">
        <v>86230</v>
      </c>
      <c r="G8" s="747">
        <v>431150</v>
      </c>
      <c r="H8" s="747">
        <v>351271.72741666739</v>
      </c>
      <c r="I8" s="45">
        <f t="shared" si="0"/>
        <v>79878.272583332611</v>
      </c>
      <c r="J8" s="333">
        <f t="shared" si="1"/>
        <v>0.22739738598029421</v>
      </c>
      <c r="K8" s="749"/>
    </row>
    <row r="9" spans="1:11" ht="12.75" customHeight="1" x14ac:dyDescent="0.25">
      <c r="A9" s="521" t="s">
        <v>532</v>
      </c>
      <c r="B9" s="170"/>
      <c r="C9" s="762"/>
      <c r="D9" s="759">
        <v>189557.00062649456</v>
      </c>
      <c r="E9" s="747">
        <v>2976720</v>
      </c>
      <c r="F9" s="747">
        <v>22570</v>
      </c>
      <c r="G9" s="747">
        <v>112850</v>
      </c>
      <c r="H9" s="747">
        <v>63185.666875498187</v>
      </c>
      <c r="I9" s="45">
        <f t="shared" si="0"/>
        <v>49664.333124501813</v>
      </c>
      <c r="J9" s="333">
        <f t="shared" si="1"/>
        <v>0.78600631409590127</v>
      </c>
      <c r="K9" s="749"/>
    </row>
    <row r="10" spans="1:11" ht="12.75" customHeight="1" x14ac:dyDescent="0.25">
      <c r="A10" s="521" t="s">
        <v>1222</v>
      </c>
      <c r="B10" s="170"/>
      <c r="C10" s="762"/>
      <c r="D10" s="759">
        <v>2124268.0738278623</v>
      </c>
      <c r="E10" s="747">
        <v>969122.12000000011</v>
      </c>
      <c r="F10" s="747">
        <v>72064</v>
      </c>
      <c r="G10" s="747">
        <v>360320</v>
      </c>
      <c r="H10" s="747">
        <v>708089.35794262076</v>
      </c>
      <c r="I10" s="45">
        <f>G10-H10</f>
        <v>-347769.35794262076</v>
      </c>
      <c r="J10" s="333">
        <f>IF(I10=0,"",I10/H10)</f>
        <v>-0.49113767074974435</v>
      </c>
      <c r="K10" s="749"/>
    </row>
    <row r="11" spans="1:11" ht="12.75" customHeight="1" x14ac:dyDescent="0.25">
      <c r="A11" s="40" t="s">
        <v>1223</v>
      </c>
      <c r="B11" s="170"/>
      <c r="C11" s="762"/>
      <c r="D11" s="759">
        <v>582061.9606391486</v>
      </c>
      <c r="E11" s="747">
        <v>523174</v>
      </c>
      <c r="F11" s="747">
        <v>23753</v>
      </c>
      <c r="G11" s="747">
        <v>118765</v>
      </c>
      <c r="H11" s="747">
        <v>194020.65354638288</v>
      </c>
      <c r="I11" s="45">
        <f>G11-H11</f>
        <v>-75255.653546382877</v>
      </c>
      <c r="J11" s="333">
        <f>IF(I11=0,"",I11/H11)</f>
        <v>-0.38787444620369832</v>
      </c>
      <c r="K11" s="749"/>
    </row>
    <row r="12" spans="1:11" ht="12.75" customHeight="1" x14ac:dyDescent="0.25">
      <c r="A12" s="40" t="s">
        <v>1224</v>
      </c>
      <c r="B12" s="170"/>
      <c r="C12" s="762"/>
      <c r="D12" s="759"/>
      <c r="E12" s="747"/>
      <c r="F12" s="747"/>
      <c r="G12" s="747"/>
      <c r="H12" s="747"/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1225</v>
      </c>
      <c r="B13" s="170"/>
      <c r="C13" s="762"/>
      <c r="D13" s="759">
        <v>519313.90265648998</v>
      </c>
      <c r="E13" s="747"/>
      <c r="F13" s="747">
        <v>49861</v>
      </c>
      <c r="G13" s="747">
        <v>249305</v>
      </c>
      <c r="H13" s="747">
        <v>173104.63421883</v>
      </c>
      <c r="I13" s="45">
        <f t="shared" si="0"/>
        <v>76200.365781169996</v>
      </c>
      <c r="J13" s="333">
        <f t="shared" si="1"/>
        <v>0.44019830043857405</v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2">SUM(C7:C13)</f>
        <v>0</v>
      </c>
      <c r="D14" s="478">
        <f t="shared" si="2"/>
        <v>11807209.180665649</v>
      </c>
      <c r="E14" s="433">
        <f t="shared" si="2"/>
        <v>11807209.18</v>
      </c>
      <c r="F14" s="433">
        <f t="shared" si="2"/>
        <v>593931</v>
      </c>
      <c r="G14" s="433">
        <f t="shared" si="2"/>
        <v>2946540</v>
      </c>
      <c r="H14" s="433">
        <f t="shared" si="2"/>
        <v>3935736.3935552165</v>
      </c>
      <c r="I14" s="433">
        <f t="shared" si="0"/>
        <v>-989196.39355521649</v>
      </c>
      <c r="J14" s="434">
        <f t="shared" si="1"/>
        <v>-0.25133705478218243</v>
      </c>
      <c r="K14" s="516">
        <f t="shared" si="2"/>
        <v>0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e">
        <f>IF(E14=0,"",(E14/C14)-1)</f>
        <v>#DIV/0!</v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/>
      <c r="D18" s="759">
        <v>5305922.92</v>
      </c>
      <c r="E18" s="747">
        <v>1890672.8047019402</v>
      </c>
      <c r="F18" s="747">
        <v>1621868</v>
      </c>
      <c r="G18" s="747">
        <v>6422471.5542755295</v>
      </c>
      <c r="H18" s="747">
        <v>1768640.9733333334</v>
      </c>
      <c r="I18" s="45">
        <f t="shared" ref="I18:I30" si="3">G18-H18</f>
        <v>4653830.5809421958</v>
      </c>
      <c r="J18" s="333">
        <f t="shared" ref="J18:J29" si="4">IF(I18=0,"",I18/H18)</f>
        <v>2.6313031593807223</v>
      </c>
      <c r="K18" s="749"/>
    </row>
    <row r="19" spans="1:11" ht="12.75" customHeight="1" x14ac:dyDescent="0.25">
      <c r="A19" s="40" t="s">
        <v>1221</v>
      </c>
      <c r="B19" s="170"/>
      <c r="C19" s="762"/>
      <c r="D19" s="759">
        <v>65752.089080600708</v>
      </c>
      <c r="E19" s="747">
        <v>1504323.1177826177</v>
      </c>
      <c r="F19" s="747">
        <v>24434.322161448399</v>
      </c>
      <c r="G19" s="747">
        <v>97737.288645793597</v>
      </c>
      <c r="H19" s="747">
        <v>21917.363026866904</v>
      </c>
      <c r="I19" s="45">
        <f t="shared" si="3"/>
        <v>75819.925618926689</v>
      </c>
      <c r="J19" s="333">
        <f t="shared" si="4"/>
        <v>3.4593543724208313</v>
      </c>
      <c r="K19" s="749"/>
    </row>
    <row r="20" spans="1:11" ht="12.75" customHeight="1" x14ac:dyDescent="0.25">
      <c r="A20" s="40" t="s">
        <v>532</v>
      </c>
      <c r="B20" s="170"/>
      <c r="C20" s="762"/>
      <c r="D20" s="759"/>
      <c r="E20" s="747">
        <v>0</v>
      </c>
      <c r="F20" s="747"/>
      <c r="G20" s="747"/>
      <c r="H20" s="747"/>
      <c r="I20" s="45">
        <f t="shared" si="3"/>
        <v>0</v>
      </c>
      <c r="J20" s="333" t="str">
        <f t="shared" si="4"/>
        <v/>
      </c>
      <c r="K20" s="749"/>
    </row>
    <row r="21" spans="1:11" ht="12.75" customHeight="1" x14ac:dyDescent="0.25">
      <c r="A21" s="40" t="s">
        <v>677</v>
      </c>
      <c r="B21" s="170"/>
      <c r="C21" s="762"/>
      <c r="D21" s="759"/>
      <c r="E21" s="747">
        <v>0</v>
      </c>
      <c r="F21" s="747"/>
      <c r="G21" s="747"/>
      <c r="H21" s="747"/>
      <c r="I21" s="45">
        <f t="shared" si="3"/>
        <v>0</v>
      </c>
      <c r="J21" s="333" t="str">
        <f t="shared" si="4"/>
        <v/>
      </c>
      <c r="K21" s="749"/>
    </row>
    <row r="22" spans="1:11" ht="12.75" customHeight="1" x14ac:dyDescent="0.25">
      <c r="A22" s="40" t="s">
        <v>534</v>
      </c>
      <c r="B22" s="170"/>
      <c r="C22" s="762"/>
      <c r="D22" s="759">
        <v>925488.95387697581</v>
      </c>
      <c r="E22" s="747">
        <v>999768.25536071614</v>
      </c>
      <c r="F22" s="747">
        <v>96299</v>
      </c>
      <c r="G22" s="747"/>
      <c r="H22" s="747">
        <v>308496.31795899192</v>
      </c>
      <c r="I22" s="45">
        <f>G22-H22</f>
        <v>-308496.31795899192</v>
      </c>
      <c r="J22" s="333">
        <f>IF(I22=0,"",I22/H22)</f>
        <v>-1</v>
      </c>
      <c r="K22" s="749"/>
    </row>
    <row r="23" spans="1:11" ht="12.75" customHeight="1" x14ac:dyDescent="0.25">
      <c r="A23" s="40" t="s">
        <v>1222</v>
      </c>
      <c r="B23" s="170"/>
      <c r="C23" s="762"/>
      <c r="D23" s="759"/>
      <c r="E23" s="747">
        <v>0</v>
      </c>
      <c r="F23" s="747"/>
      <c r="G23" s="747"/>
      <c r="H23" s="747"/>
      <c r="I23" s="45">
        <f>G23-H23</f>
        <v>0</v>
      </c>
      <c r="J23" s="333" t="str">
        <f>IF(I23=0,"",I23/H23)</f>
        <v/>
      </c>
      <c r="K23" s="749"/>
    </row>
    <row r="24" spans="1:11" ht="12.75" customHeight="1" x14ac:dyDescent="0.25">
      <c r="A24" s="40" t="s">
        <v>1223</v>
      </c>
      <c r="B24" s="170"/>
      <c r="C24" s="762"/>
      <c r="D24" s="759"/>
      <c r="E24" s="747">
        <v>236739.00379518612</v>
      </c>
      <c r="F24" s="747"/>
      <c r="G24" s="747"/>
      <c r="H24" s="747"/>
      <c r="I24" s="45">
        <f>G24-H24</f>
        <v>0</v>
      </c>
      <c r="J24" s="333" t="str">
        <f>IF(I24=0,"",I24/H24)</f>
        <v/>
      </c>
      <c r="K24" s="749"/>
    </row>
    <row r="25" spans="1:11" ht="12.75" customHeight="1" x14ac:dyDescent="0.25">
      <c r="A25" s="40" t="s">
        <v>1224</v>
      </c>
      <c r="B25" s="170"/>
      <c r="C25" s="762"/>
      <c r="D25" s="759"/>
      <c r="E25" s="747"/>
      <c r="F25" s="747"/>
      <c r="G25" s="747"/>
      <c r="H25" s="747"/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1225</v>
      </c>
      <c r="B26" s="170"/>
      <c r="C26" s="762"/>
      <c r="D26" s="759">
        <v>75909.512860852905</v>
      </c>
      <c r="E26" s="747"/>
      <c r="F26" s="747">
        <v>20818.356913314699</v>
      </c>
      <c r="G26" s="747">
        <v>83273.427653258797</v>
      </c>
      <c r="H26" s="747">
        <v>25303.170953617635</v>
      </c>
      <c r="I26" s="45">
        <f t="shared" si="3"/>
        <v>57970.256699641162</v>
      </c>
      <c r="J26" s="333">
        <f t="shared" si="4"/>
        <v>2.2910273501255802</v>
      </c>
      <c r="K26" s="749"/>
    </row>
    <row r="27" spans="1:11" ht="12.75" customHeight="1" x14ac:dyDescent="0.25">
      <c r="A27" s="40" t="s">
        <v>1226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">
        <v>1227</v>
      </c>
      <c r="B28" s="170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">
        <v>1228</v>
      </c>
      <c r="B29" s="170">
        <v>2</v>
      </c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5">SUM(C18:C29)</f>
        <v>0</v>
      </c>
      <c r="D30" s="478">
        <f t="shared" si="5"/>
        <v>6373073.4758184301</v>
      </c>
      <c r="E30" s="433">
        <f t="shared" si="5"/>
        <v>4631503.1816404602</v>
      </c>
      <c r="F30" s="433">
        <f>SUM(F18:F29)</f>
        <v>1763419.6790747631</v>
      </c>
      <c r="G30" s="433">
        <f>SUM(G18:G29)</f>
        <v>6603482.2705745818</v>
      </c>
      <c r="H30" s="433">
        <f>SUM(H18:H29)</f>
        <v>2124357.8252728097</v>
      </c>
      <c r="I30" s="433">
        <f t="shared" si="3"/>
        <v>4479124.4453017721</v>
      </c>
      <c r="J30" s="434">
        <f>IF(I30=0,"",I30/H30)</f>
        <v>2.1084604448530526</v>
      </c>
      <c r="K30" s="516">
        <f t="shared" si="5"/>
        <v>0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e">
        <f>IF(E30=0,"",(E30/C30)-1)</f>
        <v>#DIV/0!</v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/>
      <c r="D34" s="759">
        <v>61171982.909999996</v>
      </c>
      <c r="E34" s="747">
        <v>3688821</v>
      </c>
      <c r="F34" s="747">
        <f>2682817-750000</f>
        <v>1932817</v>
      </c>
      <c r="G34" s="747">
        <v>14739574.1154176</v>
      </c>
      <c r="H34" s="747">
        <v>20390660.969999999</v>
      </c>
      <c r="I34" s="45">
        <f t="shared" ref="I34:I46" si="6">G34-H34</f>
        <v>-5651086.8545823991</v>
      </c>
      <c r="J34" s="333">
        <f t="shared" ref="J34:J45" si="7">IF(I34=0,"",I34/H34)</f>
        <v>-0.27714093539668122</v>
      </c>
      <c r="K34" s="749"/>
    </row>
    <row r="35" spans="1:11" ht="12.75" customHeight="1" x14ac:dyDescent="0.25">
      <c r="A35" s="521" t="s">
        <v>1221</v>
      </c>
      <c r="B35" s="170"/>
      <c r="C35" s="762"/>
      <c r="D35" s="759">
        <v>10599596.728669398</v>
      </c>
      <c r="E35" s="747">
        <v>1794333</v>
      </c>
      <c r="F35" s="747">
        <v>1653815.78185803</v>
      </c>
      <c r="G35" s="747">
        <v>4241435.3455740903</v>
      </c>
      <c r="H35" s="747">
        <v>3533198.9095564657</v>
      </c>
      <c r="I35" s="45">
        <f t="shared" si="6"/>
        <v>708236.43601762457</v>
      </c>
      <c r="J35" s="333">
        <f t="shared" si="7"/>
        <v>0.20045190042995112</v>
      </c>
      <c r="K35" s="749"/>
    </row>
    <row r="36" spans="1:11" ht="12.75" customHeight="1" x14ac:dyDescent="0.25">
      <c r="A36" s="521" t="s">
        <v>532</v>
      </c>
      <c r="B36" s="170"/>
      <c r="C36" s="762"/>
      <c r="D36" s="759">
        <v>5149750.9993735058</v>
      </c>
      <c r="E36" s="747">
        <v>3415010</v>
      </c>
      <c r="F36" s="747">
        <v>938751</v>
      </c>
      <c r="G36" s="747">
        <v>3720004</v>
      </c>
      <c r="H36" s="747">
        <v>1716583.6664578354</v>
      </c>
      <c r="I36" s="45">
        <f t="shared" si="6"/>
        <v>2003420.3335421646</v>
      </c>
      <c r="J36" s="333">
        <f t="shared" si="7"/>
        <v>1.167097399730137</v>
      </c>
      <c r="K36" s="749"/>
    </row>
    <row r="37" spans="1:11" ht="12.75" customHeight="1" x14ac:dyDescent="0.25">
      <c r="A37" s="521" t="s">
        <v>677</v>
      </c>
      <c r="B37" s="170"/>
      <c r="C37" s="762"/>
      <c r="D37" s="759">
        <v>1979078</v>
      </c>
      <c r="E37" s="747">
        <v>2150977</v>
      </c>
      <c r="F37" s="747">
        <v>206371</v>
      </c>
      <c r="G37" s="747"/>
      <c r="H37" s="747">
        <v>659692.66666666663</v>
      </c>
      <c r="I37" s="45">
        <f t="shared" si="6"/>
        <v>-659692.66666666663</v>
      </c>
      <c r="J37" s="333">
        <f t="shared" si="7"/>
        <v>-1</v>
      </c>
      <c r="K37" s="749"/>
    </row>
    <row r="38" spans="1:11" ht="12.75" customHeight="1" x14ac:dyDescent="0.25">
      <c r="A38" s="521" t="s">
        <v>534</v>
      </c>
      <c r="B38" s="170"/>
      <c r="C38" s="762"/>
      <c r="D38" s="759">
        <v>0</v>
      </c>
      <c r="E38" s="747">
        <v>0</v>
      </c>
      <c r="F38" s="747"/>
      <c r="G38" s="747"/>
      <c r="H38" s="747"/>
      <c r="I38" s="45">
        <f t="shared" si="6"/>
        <v>0</v>
      </c>
      <c r="J38" s="333" t="str">
        <f t="shared" si="7"/>
        <v/>
      </c>
      <c r="K38" s="749"/>
    </row>
    <row r="39" spans="1:11" ht="12.75" customHeight="1" x14ac:dyDescent="0.25">
      <c r="A39" s="521" t="s">
        <v>1222</v>
      </c>
      <c r="B39" s="170"/>
      <c r="C39" s="762"/>
      <c r="D39" s="759">
        <v>3717121.9261721377</v>
      </c>
      <c r="E39" s="747">
        <v>1260000</v>
      </c>
      <c r="F39" s="747">
        <v>730329.92635627999</v>
      </c>
      <c r="G39" s="747">
        <v>2896319.70542512</v>
      </c>
      <c r="H39" s="747">
        <v>1239040.6420573792</v>
      </c>
      <c r="I39" s="45">
        <f>G39-H39</f>
        <v>1657279.0633677407</v>
      </c>
      <c r="J39" s="333">
        <f>IF(I39=0,"",I39/H39)</f>
        <v>1.3375502038544052</v>
      </c>
      <c r="K39" s="749"/>
    </row>
    <row r="40" spans="1:11" ht="12.75" customHeight="1" x14ac:dyDescent="0.25">
      <c r="A40" s="521" t="s">
        <v>1223</v>
      </c>
      <c r="B40" s="170"/>
      <c r="C40" s="762"/>
      <c r="D40" s="759">
        <v>3372191</v>
      </c>
      <c r="E40" s="747">
        <v>108000</v>
      </c>
      <c r="F40" s="747">
        <v>21556.269697410498</v>
      </c>
      <c r="G40" s="747">
        <v>85025.078789641964</v>
      </c>
      <c r="H40" s="747">
        <v>1124063.6666666667</v>
      </c>
      <c r="I40" s="45">
        <f>G40-H40</f>
        <v>-1039038.5878770248</v>
      </c>
      <c r="J40" s="333">
        <f>IF(I40=0,"",I40/H40)</f>
        <v>-0.92435919662648824</v>
      </c>
      <c r="K40" s="749"/>
    </row>
    <row r="41" spans="1:11" ht="12.75" customHeight="1" x14ac:dyDescent="0.25">
      <c r="A41" s="521" t="s">
        <v>1224</v>
      </c>
      <c r="B41" s="170"/>
      <c r="C41" s="762"/>
      <c r="D41" s="759">
        <v>581686</v>
      </c>
      <c r="E41" s="747">
        <v>442440</v>
      </c>
      <c r="F41" s="747">
        <v>52722.633450353896</v>
      </c>
      <c r="G41" s="747">
        <v>209390.53380141562</v>
      </c>
      <c r="H41" s="747">
        <v>193895.33333333334</v>
      </c>
      <c r="I41" s="45">
        <f>G41-H41</f>
        <v>15495.200468082272</v>
      </c>
      <c r="J41" s="333">
        <f>IF(I41=0,"",I41/H41)</f>
        <v>7.9915283166943699E-2</v>
      </c>
      <c r="K41" s="749"/>
    </row>
    <row r="42" spans="1:11" ht="12.75" customHeight="1" x14ac:dyDescent="0.25">
      <c r="A42" s="521" t="s">
        <v>1225</v>
      </c>
      <c r="B42" s="170"/>
      <c r="C42" s="762"/>
      <c r="D42" s="759">
        <v>6019898.4344826667</v>
      </c>
      <c r="E42" s="747">
        <v>688442</v>
      </c>
      <c r="F42" s="747">
        <v>1196127.52</v>
      </c>
      <c r="G42" s="747">
        <v>4615619.08</v>
      </c>
      <c r="H42" s="747">
        <v>2006632.8114942221</v>
      </c>
      <c r="I42" s="45">
        <f t="shared" si="6"/>
        <v>2608986.2685057782</v>
      </c>
      <c r="J42" s="333">
        <f t="shared" si="7"/>
        <v>1.3001812058295901</v>
      </c>
      <c r="K42" s="749"/>
    </row>
    <row r="43" spans="1:11" ht="12.75" customHeight="1" x14ac:dyDescent="0.25">
      <c r="A43" s="521" t="s">
        <v>1226</v>
      </c>
      <c r="B43" s="170"/>
      <c r="C43" s="762"/>
      <c r="D43" s="759"/>
      <c r="E43" s="747"/>
      <c r="F43" s="747"/>
      <c r="G43" s="747"/>
      <c r="H43" s="747"/>
      <c r="I43" s="45">
        <f t="shared" si="6"/>
        <v>0</v>
      </c>
      <c r="J43" s="333" t="str">
        <f t="shared" si="7"/>
        <v/>
      </c>
      <c r="K43" s="749"/>
    </row>
    <row r="44" spans="1:11" ht="12.75" customHeight="1" x14ac:dyDescent="0.25">
      <c r="A44" s="521" t="s">
        <v>1227</v>
      </c>
      <c r="B44" s="170"/>
      <c r="C44" s="762"/>
      <c r="D44" s="759"/>
      <c r="E44" s="747"/>
      <c r="F44" s="747"/>
      <c r="G44" s="747"/>
      <c r="H44" s="747"/>
      <c r="I44" s="45">
        <f t="shared" si="6"/>
        <v>0</v>
      </c>
      <c r="J44" s="333" t="str">
        <f t="shared" si="7"/>
        <v/>
      </c>
      <c r="K44" s="749"/>
    </row>
    <row r="45" spans="1:11" ht="12.75" customHeight="1" x14ac:dyDescent="0.25">
      <c r="A45" s="521" t="s">
        <v>1228</v>
      </c>
      <c r="B45" s="170">
        <v>2</v>
      </c>
      <c r="C45" s="762"/>
      <c r="D45" s="759"/>
      <c r="E45" s="747"/>
      <c r="F45" s="747"/>
      <c r="G45" s="747"/>
      <c r="H45" s="747"/>
      <c r="I45" s="45">
        <f t="shared" si="6"/>
        <v>0</v>
      </c>
      <c r="J45" s="333" t="str">
        <f t="shared" si="7"/>
        <v/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8">SUM(C34:C45)</f>
        <v>0</v>
      </c>
      <c r="D46" s="478">
        <f t="shared" si="8"/>
        <v>92591305.998697713</v>
      </c>
      <c r="E46" s="433">
        <f t="shared" si="8"/>
        <v>13548023</v>
      </c>
      <c r="F46" s="433">
        <f>SUM(F34:F45)</f>
        <v>6732491.1313620731</v>
      </c>
      <c r="G46" s="433">
        <f>SUM(G34:G45)</f>
        <v>30507367.859007865</v>
      </c>
      <c r="H46" s="433">
        <f>SUM(H34:H45)</f>
        <v>30863768.666232571</v>
      </c>
      <c r="I46" s="433">
        <f t="shared" si="6"/>
        <v>-356400.80722470582</v>
      </c>
      <c r="J46" s="434">
        <f>IF(I46=0,"",I46/H46)</f>
        <v>-1.1547546609712533E-2</v>
      </c>
      <c r="K46" s="516">
        <f t="shared" si="8"/>
        <v>0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e">
        <f>IF(E46=0,"",(E46/C46)-1)</f>
        <v>#DIV/0!</v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9">D14+D30+D46</f>
        <v>110771588.6551818</v>
      </c>
      <c r="E49" s="74">
        <f t="shared" si="9"/>
        <v>29986735.361640461</v>
      </c>
      <c r="F49" s="74">
        <f t="shared" si="9"/>
        <v>9089841.8104368374</v>
      </c>
      <c r="G49" s="74">
        <f t="shared" si="9"/>
        <v>40057390.12958245</v>
      </c>
      <c r="H49" s="74">
        <f t="shared" si="9"/>
        <v>36923862.885060593</v>
      </c>
      <c r="I49" s="74">
        <f>G49-H49</f>
        <v>3133527.2445218563</v>
      </c>
      <c r="J49" s="334">
        <f>IF(I49=0,"",I49/H49)</f>
        <v>8.4864556405599756E-2</v>
      </c>
      <c r="K49" s="146">
        <f t="shared" si="9"/>
        <v>0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e">
        <f>IF(E49=0,"",(E49/C49)-1)</f>
        <v>#DIV/0!</v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0">G54-H54</f>
        <v>0</v>
      </c>
      <c r="J54" s="333" t="str">
        <f t="shared" ref="J54:J66" si="11">IF(I54=0,"",I54/H54)</f>
        <v/>
      </c>
      <c r="K54" s="749"/>
    </row>
    <row r="55" spans="1:11" ht="12.75" customHeight="1" x14ac:dyDescent="0.25">
      <c r="A55" s="40" t="s">
        <v>1221</v>
      </c>
      <c r="B55" s="170"/>
      <c r="C55" s="762"/>
      <c r="D55" s="759"/>
      <c r="E55" s="747"/>
      <c r="F55" s="747"/>
      <c r="G55" s="747"/>
      <c r="H55" s="747"/>
      <c r="I55" s="45">
        <f t="shared" si="10"/>
        <v>0</v>
      </c>
      <c r="J55" s="333" t="str">
        <f t="shared" si="11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0"/>
        <v>0</v>
      </c>
      <c r="J56" s="333" t="str">
        <f t="shared" si="11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1222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1223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1224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1225</v>
      </c>
      <c r="B62" s="170"/>
      <c r="C62" s="762"/>
      <c r="D62" s="759"/>
      <c r="E62" s="747"/>
      <c r="F62" s="747"/>
      <c r="G62" s="747"/>
      <c r="H62" s="747"/>
      <c r="I62" s="45">
        <f t="shared" si="10"/>
        <v>0</v>
      </c>
      <c r="J62" s="333" t="str">
        <f t="shared" si="11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1226</v>
      </c>
      <c r="B64" s="170"/>
      <c r="C64" s="762"/>
      <c r="D64" s="759"/>
      <c r="E64" s="747"/>
      <c r="F64" s="747"/>
      <c r="G64" s="747"/>
      <c r="H64" s="747"/>
      <c r="I64" s="45">
        <f t="shared" si="10"/>
        <v>0</v>
      </c>
      <c r="J64" s="333" t="str">
        <f t="shared" si="11"/>
        <v/>
      </c>
      <c r="K64" s="749"/>
    </row>
    <row r="65" spans="1:11" ht="12.75" customHeight="1" x14ac:dyDescent="0.25">
      <c r="A65" s="40" t="s">
        <v>1227</v>
      </c>
      <c r="B65" s="170"/>
      <c r="C65" s="762"/>
      <c r="D65" s="759"/>
      <c r="E65" s="747"/>
      <c r="F65" s="747"/>
      <c r="G65" s="747"/>
      <c r="H65" s="747"/>
      <c r="I65" s="45">
        <f t="shared" si="10"/>
        <v>0</v>
      </c>
      <c r="J65" s="333" t="str">
        <f t="shared" si="11"/>
        <v/>
      </c>
      <c r="K65" s="749"/>
    </row>
    <row r="66" spans="1:11" ht="12.75" customHeight="1" x14ac:dyDescent="0.25">
      <c r="A66" s="40" t="s">
        <v>1228</v>
      </c>
      <c r="B66" s="170"/>
      <c r="C66" s="762"/>
      <c r="D66" s="759"/>
      <c r="E66" s="747"/>
      <c r="F66" s="747"/>
      <c r="G66" s="747"/>
      <c r="H66" s="747"/>
      <c r="I66" s="45">
        <f t="shared" si="10"/>
        <v>0</v>
      </c>
      <c r="J66" s="333" t="str">
        <f t="shared" si="11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12">SUM(C54:C66)</f>
        <v>0</v>
      </c>
      <c r="D67" s="478">
        <f t="shared" si="12"/>
        <v>0</v>
      </c>
      <c r="E67" s="433">
        <f t="shared" si="12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0"/>
        <v>0</v>
      </c>
      <c r="J67" s="434" t="str">
        <f>IF(I67=0,"",I67/H67)</f>
        <v/>
      </c>
      <c r="K67" s="516">
        <f t="shared" si="12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3">G71-H71</f>
        <v>0</v>
      </c>
      <c r="J71" s="333" t="str">
        <f t="shared" ref="J71:J82" si="14">IF(I71=0,"",I71/H71)</f>
        <v/>
      </c>
      <c r="K71" s="749"/>
    </row>
    <row r="72" spans="1:11" ht="12.75" customHeight="1" x14ac:dyDescent="0.25">
      <c r="A72" s="521" t="s">
        <v>1221</v>
      </c>
      <c r="B72" s="170"/>
      <c r="C72" s="762"/>
      <c r="D72" s="759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3"/>
        <v>0</v>
      </c>
      <c r="J73" s="333" t="str">
        <f t="shared" si="14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13"/>
        <v>0</v>
      </c>
      <c r="J74" s="333" t="str">
        <f t="shared" si="14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1222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1223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1224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1225</v>
      </c>
      <c r="B79" s="170"/>
      <c r="C79" s="762"/>
      <c r="D79" s="759"/>
      <c r="E79" s="747"/>
      <c r="F79" s="747"/>
      <c r="G79" s="747"/>
      <c r="H79" s="747"/>
      <c r="I79" s="45">
        <f t="shared" si="13"/>
        <v>0</v>
      </c>
      <c r="J79" s="333" t="str">
        <f t="shared" si="14"/>
        <v/>
      </c>
      <c r="K79" s="749"/>
    </row>
    <row r="80" spans="1:11" ht="12.75" customHeight="1" x14ac:dyDescent="0.25">
      <c r="A80" s="521" t="s">
        <v>1226</v>
      </c>
      <c r="B80" s="170"/>
      <c r="C80" s="762"/>
      <c r="D80" s="759"/>
      <c r="E80" s="747"/>
      <c r="F80" s="747"/>
      <c r="G80" s="747"/>
      <c r="H80" s="747"/>
      <c r="I80" s="45">
        <f t="shared" si="13"/>
        <v>0</v>
      </c>
      <c r="J80" s="333" t="str">
        <f t="shared" si="14"/>
        <v/>
      </c>
      <c r="K80" s="749"/>
    </row>
    <row r="81" spans="1:11" ht="12.75" customHeight="1" x14ac:dyDescent="0.25">
      <c r="A81" s="521" t="s">
        <v>1227</v>
      </c>
      <c r="B81" s="170"/>
      <c r="C81" s="762"/>
      <c r="D81" s="759"/>
      <c r="E81" s="747"/>
      <c r="F81" s="747"/>
      <c r="G81" s="747"/>
      <c r="H81" s="747"/>
      <c r="I81" s="45">
        <f t="shared" si="13"/>
        <v>0</v>
      </c>
      <c r="J81" s="333" t="str">
        <f t="shared" si="14"/>
        <v/>
      </c>
      <c r="K81" s="749"/>
    </row>
    <row r="82" spans="1:11" ht="12.75" customHeight="1" x14ac:dyDescent="0.25">
      <c r="A82" s="521" t="s">
        <v>1228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3"/>
        <v>0</v>
      </c>
      <c r="J82" s="333" t="str">
        <f t="shared" si="14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15">SUM(C71:C82)</f>
        <v>0</v>
      </c>
      <c r="D83" s="478">
        <f t="shared" si="15"/>
        <v>0</v>
      </c>
      <c r="E83" s="433">
        <f t="shared" si="15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3"/>
        <v>0</v>
      </c>
      <c r="J83" s="434" t="str">
        <f>IF(I83=0,"",I83/H83)</f>
        <v/>
      </c>
      <c r="K83" s="516">
        <f t="shared" si="15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6">G87-H87</f>
        <v>0</v>
      </c>
      <c r="J87" s="333" t="str">
        <f t="shared" ref="J87:J98" si="17">IF(I87=0,"",I87/H87)</f>
        <v/>
      </c>
      <c r="K87" s="749"/>
    </row>
    <row r="88" spans="1:11" ht="12.75" customHeight="1" x14ac:dyDescent="0.25">
      <c r="A88" s="521" t="s">
        <v>1221</v>
      </c>
      <c r="B88" s="170"/>
      <c r="C88" s="762"/>
      <c r="D88" s="759"/>
      <c r="E88" s="747"/>
      <c r="F88" s="747"/>
      <c r="G88" s="747"/>
      <c r="H88" s="747"/>
      <c r="I88" s="45">
        <f t="shared" si="16"/>
        <v>0</v>
      </c>
      <c r="J88" s="333" t="str">
        <f t="shared" si="17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1222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1223</v>
      </c>
      <c r="B93" s="170"/>
      <c r="C93" s="762"/>
      <c r="D93" s="759"/>
      <c r="E93" s="747"/>
      <c r="F93" s="747"/>
      <c r="G93" s="747"/>
      <c r="H93" s="747"/>
      <c r="I93" s="45">
        <f t="shared" si="16"/>
        <v>0</v>
      </c>
      <c r="J93" s="333" t="str">
        <f t="shared" si="17"/>
        <v/>
      </c>
      <c r="K93" s="749"/>
    </row>
    <row r="94" spans="1:11" ht="12.75" customHeight="1" x14ac:dyDescent="0.25">
      <c r="A94" s="521" t="s">
        <v>1224</v>
      </c>
      <c r="B94" s="170"/>
      <c r="C94" s="762"/>
      <c r="D94" s="759"/>
      <c r="E94" s="747"/>
      <c r="F94" s="747"/>
      <c r="G94" s="747"/>
      <c r="H94" s="747"/>
      <c r="I94" s="45">
        <f t="shared" si="16"/>
        <v>0</v>
      </c>
      <c r="J94" s="333" t="str">
        <f t="shared" si="17"/>
        <v/>
      </c>
      <c r="K94" s="749"/>
    </row>
    <row r="95" spans="1:11" ht="12.75" customHeight="1" x14ac:dyDescent="0.25">
      <c r="A95" s="521" t="s">
        <v>1225</v>
      </c>
      <c r="B95" s="170"/>
      <c r="C95" s="762"/>
      <c r="D95" s="759"/>
      <c r="E95" s="747"/>
      <c r="F95" s="747"/>
      <c r="G95" s="747"/>
      <c r="H95" s="747"/>
      <c r="I95" s="45">
        <f t="shared" si="16"/>
        <v>0</v>
      </c>
      <c r="J95" s="333" t="str">
        <f t="shared" si="17"/>
        <v/>
      </c>
      <c r="K95" s="749"/>
    </row>
    <row r="96" spans="1:11" ht="12.75" customHeight="1" x14ac:dyDescent="0.25">
      <c r="A96" s="521" t="s">
        <v>1226</v>
      </c>
      <c r="B96" s="170"/>
      <c r="C96" s="762"/>
      <c r="D96" s="759"/>
      <c r="E96" s="747"/>
      <c r="F96" s="747"/>
      <c r="G96" s="747"/>
      <c r="H96" s="747"/>
      <c r="I96" s="45">
        <f t="shared" si="16"/>
        <v>0</v>
      </c>
      <c r="J96" s="333" t="str">
        <f t="shared" si="17"/>
        <v/>
      </c>
      <c r="K96" s="749"/>
    </row>
    <row r="97" spans="1:14" ht="12.75" customHeight="1" x14ac:dyDescent="0.25">
      <c r="A97" s="521" t="s">
        <v>1227</v>
      </c>
      <c r="B97" s="170"/>
      <c r="C97" s="762"/>
      <c r="D97" s="759"/>
      <c r="E97" s="747"/>
      <c r="F97" s="747"/>
      <c r="G97" s="747"/>
      <c r="H97" s="747"/>
      <c r="I97" s="45">
        <f t="shared" si="16"/>
        <v>0</v>
      </c>
      <c r="J97" s="333" t="str">
        <f t="shared" si="17"/>
        <v/>
      </c>
      <c r="K97" s="749"/>
    </row>
    <row r="98" spans="1:14" ht="12.75" customHeight="1" x14ac:dyDescent="0.25">
      <c r="A98" s="521" t="s">
        <v>1228</v>
      </c>
      <c r="B98" s="170"/>
      <c r="C98" s="762"/>
      <c r="D98" s="759"/>
      <c r="E98" s="747"/>
      <c r="F98" s="747"/>
      <c r="G98" s="747"/>
      <c r="H98" s="747"/>
      <c r="I98" s="45">
        <f t="shared" si="16"/>
        <v>0</v>
      </c>
      <c r="J98" s="333" t="str">
        <f t="shared" si="17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18">SUM(C87:C98)</f>
        <v>0</v>
      </c>
      <c r="D99" s="478">
        <f t="shared" si="18"/>
        <v>0</v>
      </c>
      <c r="E99" s="433">
        <f t="shared" si="18"/>
        <v>0</v>
      </c>
      <c r="F99" s="433">
        <f t="shared" si="18"/>
        <v>0</v>
      </c>
      <c r="G99" s="433">
        <f t="shared" si="18"/>
        <v>0</v>
      </c>
      <c r="H99" s="433">
        <f t="shared" si="18"/>
        <v>0</v>
      </c>
      <c r="I99" s="433">
        <f t="shared" si="16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19">C67+C83+C99</f>
        <v>0</v>
      </c>
      <c r="D102" s="478">
        <f t="shared" si="19"/>
        <v>0</v>
      </c>
      <c r="E102" s="433">
        <f t="shared" si="19"/>
        <v>0</v>
      </c>
      <c r="F102" s="433">
        <f t="shared" si="19"/>
        <v>0</v>
      </c>
      <c r="G102" s="433">
        <f t="shared" si="19"/>
        <v>0</v>
      </c>
      <c r="H102" s="433">
        <f t="shared" si="19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0">C49+C102</f>
        <v>0</v>
      </c>
      <c r="D104" s="57">
        <f t="shared" si="20"/>
        <v>110771588.6551818</v>
      </c>
      <c r="E104" s="56">
        <f t="shared" si="20"/>
        <v>29986735.361640461</v>
      </c>
      <c r="F104" s="56">
        <f t="shared" si="20"/>
        <v>9089841.8104368374</v>
      </c>
      <c r="G104" s="56">
        <f t="shared" si="20"/>
        <v>40057390.12958245</v>
      </c>
      <c r="H104" s="56">
        <f t="shared" si="20"/>
        <v>36923862.885060593</v>
      </c>
      <c r="I104" s="56">
        <f>G104-H104</f>
        <v>3133527.2445218563</v>
      </c>
      <c r="J104" s="335">
        <f>IF(I104=0,"",I104/H104)</f>
        <v>8.4864556405599756E-2</v>
      </c>
      <c r="K104" s="236">
        <f>K49+K102</f>
        <v>0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e">
        <f>IF(E104=0,"",(E104/C104)-1)</f>
        <v>#DIV/0!</v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1">C30+C46+C83+C99</f>
        <v>0</v>
      </c>
      <c r="D106" s="57">
        <f t="shared" si="21"/>
        <v>98964379.474516138</v>
      </c>
      <c r="E106" s="56">
        <f t="shared" si="21"/>
        <v>18179526.181640461</v>
      </c>
      <c r="F106" s="56">
        <f t="shared" si="21"/>
        <v>8495910.8104368355</v>
      </c>
      <c r="G106" s="56">
        <f t="shared" si="21"/>
        <v>37110850.12958245</v>
      </c>
      <c r="H106" s="56">
        <f t="shared" si="21"/>
        <v>32988126.491505381</v>
      </c>
      <c r="I106" s="56">
        <f t="shared" si="21"/>
        <v>4122723.6380770663</v>
      </c>
      <c r="J106" s="913">
        <f>IF(I106=0,"",I106/H106)</f>
        <v>0.12497598610635526</v>
      </c>
      <c r="K106" s="236">
        <f>K30+K46+K83+K99</f>
        <v>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3" right="0.16" top="0.61" bottom="0.61" header="0.51181102362204722" footer="0.41"/>
  <pageSetup paperSize="9" scale="54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M41" sqref="M41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NW385 Ramotshere Moiloa - Supporting Table SC9 Monthly Budget Statement - actuals and revised targets for cash receipts - M10 April</v>
      </c>
      <c r="B1" s="69"/>
    </row>
    <row r="2" spans="1:17" ht="25.5" customHeight="1" x14ac:dyDescent="0.25">
      <c r="A2" s="985" t="str">
        <f>desc</f>
        <v>Description</v>
      </c>
      <c r="B2" s="978" t="str">
        <f>head27</f>
        <v>Ref</v>
      </c>
      <c r="C2" s="980" t="str">
        <f>Head2</f>
        <v>Budget Year 2015/16</v>
      </c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1031"/>
      <c r="O2" s="980" t="str">
        <f>'Template names'!B5</f>
        <v>2015/16 Medium Term Revenue &amp; Expenditure Framework</v>
      </c>
      <c r="P2" s="981"/>
      <c r="Q2" s="982"/>
    </row>
    <row r="3" spans="1:17" ht="12.75" customHeight="1" x14ac:dyDescent="0.25">
      <c r="A3" s="986"/>
      <c r="B3" s="989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29" t="str">
        <f>Head9</f>
        <v>Budget Year 2015/16</v>
      </c>
      <c r="P3" s="1025" t="str">
        <f>Head10</f>
        <v>Budget Year +1 2016/17</v>
      </c>
      <c r="Q3" s="1027" t="str">
        <f>Head11</f>
        <v>Budget Year +2 2017/18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5" t="s">
        <v>688</v>
      </c>
      <c r="E4" s="805" t="s">
        <v>688</v>
      </c>
      <c r="F4" s="805" t="s">
        <v>688</v>
      </c>
      <c r="G4" s="805" t="s">
        <v>688</v>
      </c>
      <c r="H4" s="805" t="s">
        <v>688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0"/>
      <c r="P4" s="1026"/>
      <c r="Q4" s="1028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765376</v>
      </c>
      <c r="D6" s="747">
        <v>1802077</v>
      </c>
      <c r="E6" s="747">
        <v>2607226</v>
      </c>
      <c r="F6" s="747">
        <v>2059999</v>
      </c>
      <c r="G6" s="747">
        <v>3890302</v>
      </c>
      <c r="H6" s="747">
        <v>1157041</v>
      </c>
      <c r="I6" s="747">
        <v>1558287</v>
      </c>
      <c r="J6" s="747">
        <v>4171746</v>
      </c>
      <c r="K6" s="747">
        <v>2870178</v>
      </c>
      <c r="L6" s="747">
        <v>3250263</v>
      </c>
      <c r="M6" s="747"/>
      <c r="N6" s="109">
        <f t="shared" ref="N6:N21" si="0">O6-SUM(C6:M6)</f>
        <v>-24132495</v>
      </c>
      <c r="O6" s="759"/>
      <c r="P6" s="747"/>
      <c r="Q6" s="749"/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>
        <v>0</v>
      </c>
      <c r="K7" s="747">
        <v>0</v>
      </c>
      <c r="L7" s="747">
        <v>0</v>
      </c>
      <c r="M7" s="747"/>
      <c r="N7" s="109">
        <f t="shared" si="0"/>
        <v>0</v>
      </c>
      <c r="O7" s="759"/>
      <c r="P7" s="747"/>
      <c r="Q7" s="749"/>
    </row>
    <row r="8" spans="1:17" ht="12.75" customHeight="1" x14ac:dyDescent="0.25">
      <c r="A8" s="40" t="s">
        <v>989</v>
      </c>
      <c r="B8" s="41"/>
      <c r="C8" s="767">
        <v>3061502</v>
      </c>
      <c r="D8" s="747">
        <v>2691919</v>
      </c>
      <c r="E8" s="747">
        <v>2486923</v>
      </c>
      <c r="F8" s="747">
        <v>2265985</v>
      </c>
      <c r="G8" s="747">
        <v>2209694</v>
      </c>
      <c r="H8" s="747">
        <v>1501852</v>
      </c>
      <c r="I8" s="747">
        <v>1910394</v>
      </c>
      <c r="J8" s="747">
        <v>1839695</v>
      </c>
      <c r="K8" s="747">
        <v>1384642</v>
      </c>
      <c r="L8" s="747">
        <v>1528554</v>
      </c>
      <c r="M8" s="747"/>
      <c r="N8" s="109">
        <f t="shared" si="0"/>
        <v>-20881160</v>
      </c>
      <c r="O8" s="759"/>
      <c r="P8" s="747"/>
      <c r="Q8" s="749"/>
    </row>
    <row r="9" spans="1:17" ht="12.75" customHeight="1" x14ac:dyDescent="0.25">
      <c r="A9" s="40" t="s">
        <v>990</v>
      </c>
      <c r="B9" s="41"/>
      <c r="C9" s="767">
        <v>255125</v>
      </c>
      <c r="D9" s="747">
        <v>368796</v>
      </c>
      <c r="E9" s="747">
        <v>672960</v>
      </c>
      <c r="F9" s="747">
        <v>745468</v>
      </c>
      <c r="G9" s="747">
        <v>967011</v>
      </c>
      <c r="H9" s="747">
        <v>335621</v>
      </c>
      <c r="I9" s="747">
        <v>849439</v>
      </c>
      <c r="J9" s="747">
        <v>1452263</v>
      </c>
      <c r="K9" s="747">
        <v>1069765</v>
      </c>
      <c r="L9" s="747">
        <v>1328951</v>
      </c>
      <c r="M9" s="747"/>
      <c r="N9" s="109">
        <f t="shared" si="0"/>
        <v>-8045399</v>
      </c>
      <c r="O9" s="759"/>
      <c r="P9" s="747"/>
      <c r="Q9" s="749"/>
    </row>
    <row r="10" spans="1:17" ht="12.75" customHeight="1" x14ac:dyDescent="0.25">
      <c r="A10" s="40" t="s">
        <v>991</v>
      </c>
      <c r="B10" s="41"/>
      <c r="C10" s="767">
        <v>306150</v>
      </c>
      <c r="D10" s="747">
        <v>515761</v>
      </c>
      <c r="E10" s="747">
        <v>725764</v>
      </c>
      <c r="F10" s="747">
        <v>564251</v>
      </c>
      <c r="G10" s="747">
        <v>1038983</v>
      </c>
      <c r="H10" s="747">
        <v>302605</v>
      </c>
      <c r="I10" s="747">
        <v>683560</v>
      </c>
      <c r="J10" s="747">
        <v>1049337</v>
      </c>
      <c r="K10" s="747">
        <v>704596</v>
      </c>
      <c r="L10" s="747">
        <v>786709</v>
      </c>
      <c r="M10" s="747"/>
      <c r="N10" s="109">
        <f t="shared" si="0"/>
        <v>-6677716</v>
      </c>
      <c r="O10" s="759"/>
      <c r="P10" s="747"/>
      <c r="Q10" s="749"/>
    </row>
    <row r="11" spans="1:17" ht="12.75" customHeight="1" x14ac:dyDescent="0.25">
      <c r="A11" s="40" t="s">
        <v>596</v>
      </c>
      <c r="B11" s="41"/>
      <c r="C11" s="767">
        <v>714351</v>
      </c>
      <c r="D11" s="747">
        <v>948931</v>
      </c>
      <c r="E11" s="747">
        <v>1353829</v>
      </c>
      <c r="F11" s="747">
        <v>1059510</v>
      </c>
      <c r="G11" s="747">
        <v>1989052</v>
      </c>
      <c r="H11" s="747">
        <v>586273</v>
      </c>
      <c r="I11" s="747">
        <v>1339165</v>
      </c>
      <c r="J11" s="747">
        <v>1654674</v>
      </c>
      <c r="K11" s="747">
        <v>691774</v>
      </c>
      <c r="L11" s="747">
        <v>395025</v>
      </c>
      <c r="M11" s="747"/>
      <c r="N11" s="109">
        <f t="shared" si="0"/>
        <v>-10732584</v>
      </c>
      <c r="O11" s="759"/>
      <c r="P11" s="747"/>
      <c r="Q11" s="749"/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>
        <v>0</v>
      </c>
      <c r="K12" s="747">
        <v>0</v>
      </c>
      <c r="L12" s="747">
        <v>0</v>
      </c>
      <c r="M12" s="747"/>
      <c r="N12" s="109">
        <f t="shared" si="0"/>
        <v>0</v>
      </c>
      <c r="O12" s="759"/>
      <c r="P12" s="747"/>
      <c r="Q12" s="749"/>
    </row>
    <row r="13" spans="1:17" ht="12.75" customHeight="1" x14ac:dyDescent="0.25">
      <c r="A13" s="40" t="s">
        <v>1131</v>
      </c>
      <c r="B13" s="41"/>
      <c r="C13" s="767">
        <v>11237.76</v>
      </c>
      <c r="D13" s="747">
        <v>9371.5399999999991</v>
      </c>
      <c r="E13" s="747">
        <v>18966</v>
      </c>
      <c r="F13" s="747">
        <v>6425.59</v>
      </c>
      <c r="G13" s="747">
        <v>12145.52</v>
      </c>
      <c r="H13" s="747">
        <v>3027</v>
      </c>
      <c r="I13" s="747">
        <v>8853</v>
      </c>
      <c r="J13" s="747">
        <v>13139.09</v>
      </c>
      <c r="K13" s="747">
        <v>2182</v>
      </c>
      <c r="L13" s="747">
        <v>1500</v>
      </c>
      <c r="M13" s="747"/>
      <c r="N13" s="109">
        <f t="shared" si="0"/>
        <v>-86847.5</v>
      </c>
      <c r="O13" s="759"/>
      <c r="P13" s="747"/>
      <c r="Q13" s="749"/>
    </row>
    <row r="14" spans="1:17" ht="12.75" customHeight="1" x14ac:dyDescent="0.25">
      <c r="A14" s="40" t="s">
        <v>995</v>
      </c>
      <c r="B14" s="41"/>
      <c r="C14" s="767">
        <v>10459.299999999999</v>
      </c>
      <c r="D14" s="747">
        <v>157787</v>
      </c>
      <c r="E14" s="747">
        <v>165286</v>
      </c>
      <c r="F14" s="747">
        <v>6870.8</v>
      </c>
      <c r="G14" s="747">
        <v>6870.8</v>
      </c>
      <c r="H14" s="747">
        <v>145509</v>
      </c>
      <c r="I14" s="747">
        <v>100993</v>
      </c>
      <c r="J14" s="747">
        <v>156010</v>
      </c>
      <c r="K14" s="747">
        <v>5120</v>
      </c>
      <c r="L14" s="747">
        <v>0</v>
      </c>
      <c r="M14" s="747"/>
      <c r="N14" s="109">
        <f t="shared" si="0"/>
        <v>-754905.89999999991</v>
      </c>
      <c r="O14" s="759"/>
      <c r="P14" s="747"/>
      <c r="Q14" s="749"/>
    </row>
    <row r="15" spans="1:17" ht="12.75" customHeight="1" x14ac:dyDescent="0.25">
      <c r="A15" s="40" t="s">
        <v>996</v>
      </c>
      <c r="B15" s="41"/>
      <c r="C15" s="767">
        <v>7200</v>
      </c>
      <c r="D15" s="747">
        <v>6400</v>
      </c>
      <c r="E15" s="747">
        <v>9200</v>
      </c>
      <c r="F15" s="747">
        <v>8800</v>
      </c>
      <c r="G15" s="747">
        <v>6800</v>
      </c>
      <c r="H15" s="747">
        <v>0</v>
      </c>
      <c r="I15" s="747">
        <v>8000</v>
      </c>
      <c r="J15" s="747">
        <v>0</v>
      </c>
      <c r="K15" s="747">
        <v>0</v>
      </c>
      <c r="L15" s="747">
        <v>7600</v>
      </c>
      <c r="M15" s="747"/>
      <c r="N15" s="109">
        <f t="shared" si="0"/>
        <v>-54000</v>
      </c>
      <c r="O15" s="759"/>
      <c r="P15" s="747"/>
      <c r="Q15" s="749"/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>
        <v>0</v>
      </c>
      <c r="K16" s="747">
        <v>0</v>
      </c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997</v>
      </c>
      <c r="B17" s="41"/>
      <c r="C17" s="767">
        <v>1024817</v>
      </c>
      <c r="D17" s="747">
        <v>222</v>
      </c>
      <c r="E17" s="747">
        <v>4463</v>
      </c>
      <c r="F17" s="747">
        <v>0</v>
      </c>
      <c r="G17" s="747">
        <v>53546</v>
      </c>
      <c r="H17" s="747">
        <v>464430</v>
      </c>
      <c r="I17" s="747">
        <v>115</v>
      </c>
      <c r="J17" s="747">
        <v>774406</v>
      </c>
      <c r="K17" s="747">
        <v>32544</v>
      </c>
      <c r="L17" s="747">
        <v>23828</v>
      </c>
      <c r="M17" s="747"/>
      <c r="N17" s="109">
        <f t="shared" si="0"/>
        <v>-2378371</v>
      </c>
      <c r="O17" s="759"/>
      <c r="P17" s="747"/>
      <c r="Q17" s="749"/>
    </row>
    <row r="18" spans="1:17" ht="12.75" customHeight="1" x14ac:dyDescent="0.25">
      <c r="A18" s="40" t="s">
        <v>998</v>
      </c>
      <c r="B18" s="41"/>
      <c r="C18" s="767">
        <v>148755.84</v>
      </c>
      <c r="D18" s="747">
        <v>651531</v>
      </c>
      <c r="E18" s="747">
        <v>695155</v>
      </c>
      <c r="F18" s="747">
        <v>809987</v>
      </c>
      <c r="G18" s="747">
        <v>735321</v>
      </c>
      <c r="H18" s="747">
        <v>44945</v>
      </c>
      <c r="I18" s="747">
        <v>609223</v>
      </c>
      <c r="J18" s="747">
        <v>39006</v>
      </c>
      <c r="K18" s="747">
        <v>24956.17</v>
      </c>
      <c r="L18" s="747">
        <v>308456</v>
      </c>
      <c r="M18" s="747"/>
      <c r="N18" s="109">
        <f t="shared" si="0"/>
        <v>-4067336.01</v>
      </c>
      <c r="O18" s="759"/>
      <c r="P18" s="747"/>
      <c r="Q18" s="749"/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/>
      <c r="J19" s="747"/>
      <c r="K19" s="747">
        <v>0</v>
      </c>
      <c r="L19" s="747"/>
      <c r="M19" s="747"/>
      <c r="N19" s="109">
        <f t="shared" si="0"/>
        <v>0</v>
      </c>
      <c r="O19" s="759"/>
      <c r="P19" s="747"/>
      <c r="Q19" s="749"/>
    </row>
    <row r="20" spans="1:17" ht="12.75" customHeight="1" x14ac:dyDescent="0.25">
      <c r="A20" s="40" t="s">
        <v>147</v>
      </c>
      <c r="B20" s="41"/>
      <c r="C20" s="767">
        <v>56195000</v>
      </c>
      <c r="D20" s="747">
        <v>3014000</v>
      </c>
      <c r="E20" s="747">
        <v>26997</v>
      </c>
      <c r="F20" s="747">
        <v>0</v>
      </c>
      <c r="G20" s="747">
        <v>43904000</v>
      </c>
      <c r="H20" s="747">
        <v>419721</v>
      </c>
      <c r="I20" s="747"/>
      <c r="J20" s="747"/>
      <c r="K20" s="747">
        <v>32240000</v>
      </c>
      <c r="L20" s="747"/>
      <c r="M20" s="747"/>
      <c r="N20" s="109">
        <f t="shared" si="0"/>
        <v>-135799718</v>
      </c>
      <c r="O20" s="759"/>
      <c r="P20" s="747"/>
      <c r="Q20" s="749"/>
    </row>
    <row r="21" spans="1:17" ht="12.75" customHeight="1" x14ac:dyDescent="0.25">
      <c r="A21" s="40" t="s">
        <v>561</v>
      </c>
      <c r="B21" s="41"/>
      <c r="C21" s="767">
        <v>8029094</v>
      </c>
      <c r="D21" s="747">
        <v>1488007</v>
      </c>
      <c r="E21" s="747">
        <v>10832585</v>
      </c>
      <c r="F21" s="747">
        <v>8766493</v>
      </c>
      <c r="G21" s="747">
        <v>8799854</v>
      </c>
      <c r="H21" s="747">
        <v>4901313</v>
      </c>
      <c r="I21" s="747">
        <v>0</v>
      </c>
      <c r="J21" s="747">
        <v>631046</v>
      </c>
      <c r="K21" s="747">
        <v>2484540</v>
      </c>
      <c r="L21" s="747">
        <v>1242176</v>
      </c>
      <c r="M21" s="747"/>
      <c r="N21" s="109">
        <f t="shared" si="0"/>
        <v>-47175108</v>
      </c>
      <c r="O21" s="759"/>
      <c r="P21" s="747"/>
      <c r="Q21" s="749"/>
    </row>
    <row r="22" spans="1:17" ht="12.75" customHeight="1" x14ac:dyDescent="0.25">
      <c r="A22" s="89" t="s">
        <v>1100</v>
      </c>
      <c r="B22" s="53"/>
      <c r="C22" s="478">
        <f t="shared" ref="C22:Q22" si="1">SUM(C6:C21)</f>
        <v>70529067.900000006</v>
      </c>
      <c r="D22" s="433">
        <f t="shared" si="1"/>
        <v>11654802.539999999</v>
      </c>
      <c r="E22" s="433">
        <f t="shared" si="1"/>
        <v>19599354</v>
      </c>
      <c r="F22" s="433">
        <f t="shared" si="1"/>
        <v>16293789.390000001</v>
      </c>
      <c r="G22" s="433">
        <f t="shared" si="1"/>
        <v>63613579.32</v>
      </c>
      <c r="H22" s="433">
        <f t="shared" si="1"/>
        <v>9862337</v>
      </c>
      <c r="I22" s="433">
        <f t="shared" si="1"/>
        <v>7068029</v>
      </c>
      <c r="J22" s="433">
        <f t="shared" si="1"/>
        <v>11781322.09</v>
      </c>
      <c r="K22" s="433">
        <f t="shared" si="1"/>
        <v>41510297.170000002</v>
      </c>
      <c r="L22" s="433">
        <f t="shared" si="1"/>
        <v>8873062</v>
      </c>
      <c r="M22" s="433">
        <f t="shared" si="1"/>
        <v>0</v>
      </c>
      <c r="N22" s="511">
        <f t="shared" si="1"/>
        <v>-260785640.41000003</v>
      </c>
      <c r="O22" s="478">
        <f t="shared" si="1"/>
        <v>0</v>
      </c>
      <c r="P22" s="433">
        <f t="shared" si="1"/>
        <v>0</v>
      </c>
      <c r="Q22" s="516">
        <f t="shared" si="1"/>
        <v>0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5911000</v>
      </c>
      <c r="D25" s="747">
        <v>0</v>
      </c>
      <c r="E25" s="747">
        <v>4000000</v>
      </c>
      <c r="F25" s="747">
        <v>0</v>
      </c>
      <c r="G25" s="747">
        <v>26211000</v>
      </c>
      <c r="H25" s="747">
        <v>4000000</v>
      </c>
      <c r="I25" s="747"/>
      <c r="J25" s="747"/>
      <c r="K25" s="747">
        <v>3060000</v>
      </c>
      <c r="L25" s="747"/>
      <c r="M25" s="747"/>
      <c r="N25" s="109">
        <f t="shared" si="2"/>
        <v>-43182000</v>
      </c>
      <c r="O25" s="759"/>
      <c r="P25" s="747"/>
      <c r="Q25" s="749"/>
    </row>
    <row r="26" spans="1:17" ht="12.75" customHeight="1" x14ac:dyDescent="0.25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 x14ac:dyDescent="0.25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76440067.900000006</v>
      </c>
      <c r="D34" s="74">
        <f t="shared" si="3"/>
        <v>11654802.539999999</v>
      </c>
      <c r="E34" s="74">
        <f t="shared" si="3"/>
        <v>23599354</v>
      </c>
      <c r="F34" s="74">
        <f t="shared" si="3"/>
        <v>16293789.390000001</v>
      </c>
      <c r="G34" s="74">
        <f t="shared" si="3"/>
        <v>89824579.319999993</v>
      </c>
      <c r="H34" s="74">
        <f t="shared" si="3"/>
        <v>13862337</v>
      </c>
      <c r="I34" s="74">
        <f t="shared" si="3"/>
        <v>7068029</v>
      </c>
      <c r="J34" s="74">
        <f t="shared" si="3"/>
        <v>11781322.09</v>
      </c>
      <c r="K34" s="74">
        <f t="shared" si="3"/>
        <v>44570297.170000002</v>
      </c>
      <c r="L34" s="74">
        <f t="shared" si="3"/>
        <v>8873062</v>
      </c>
      <c r="M34" s="74">
        <f t="shared" si="3"/>
        <v>0</v>
      </c>
      <c r="N34" s="323">
        <f t="shared" si="3"/>
        <v>-303967640.41000003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6960093.8600000003</v>
      </c>
      <c r="D37" s="747">
        <v>9935218</v>
      </c>
      <c r="E37" s="747">
        <v>10314014</v>
      </c>
      <c r="F37" s="747">
        <v>8631535</v>
      </c>
      <c r="G37" s="747">
        <v>8829175</v>
      </c>
      <c r="H37" s="747">
        <v>8892897</v>
      </c>
      <c r="I37" s="747">
        <v>10167210</v>
      </c>
      <c r="J37" s="747">
        <v>9679704</v>
      </c>
      <c r="K37" s="747">
        <v>9246319</v>
      </c>
      <c r="L37" s="747">
        <v>9090079</v>
      </c>
      <c r="M37" s="747"/>
      <c r="N37" s="109">
        <f t="shared" si="4"/>
        <v>-91746244.859999999</v>
      </c>
      <c r="O37" s="759"/>
      <c r="P37" s="747"/>
      <c r="Q37" s="749"/>
    </row>
    <row r="38" spans="1:17" ht="12.75" customHeight="1" x14ac:dyDescent="0.25">
      <c r="A38" s="40" t="s">
        <v>587</v>
      </c>
      <c r="B38" s="41"/>
      <c r="C38" s="767">
        <v>589307.86</v>
      </c>
      <c r="D38" s="747">
        <v>589307.86</v>
      </c>
      <c r="E38" s="747">
        <v>589308</v>
      </c>
      <c r="F38" s="747">
        <v>589307.86</v>
      </c>
      <c r="G38" s="747">
        <v>589307.86</v>
      </c>
      <c r="H38" s="747">
        <v>589307.86</v>
      </c>
      <c r="I38" s="747">
        <v>751839</v>
      </c>
      <c r="J38" s="747">
        <v>584595.03</v>
      </c>
      <c r="K38" s="747">
        <v>593783.76</v>
      </c>
      <c r="L38" s="747">
        <v>593784</v>
      </c>
      <c r="M38" s="747"/>
      <c r="N38" s="109">
        <f t="shared" si="4"/>
        <v>-6059849.0899999999</v>
      </c>
      <c r="O38" s="759"/>
      <c r="P38" s="747"/>
      <c r="Q38" s="749"/>
    </row>
    <row r="39" spans="1:17" ht="12.75" customHeight="1" x14ac:dyDescent="0.25">
      <c r="A39" s="40" t="s">
        <v>1002</v>
      </c>
      <c r="B39" s="41"/>
      <c r="C39" s="76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109">
        <f t="shared" si="4"/>
        <v>0</v>
      </c>
      <c r="O39" s="759"/>
      <c r="P39" s="747"/>
      <c r="Q39" s="749"/>
    </row>
    <row r="40" spans="1:17" ht="12.75" customHeight="1" x14ac:dyDescent="0.25">
      <c r="A40" s="40" t="s">
        <v>1082</v>
      </c>
      <c r="B40" s="41"/>
      <c r="C40" s="767"/>
      <c r="D40" s="747">
        <v>5148854</v>
      </c>
      <c r="E40" s="747">
        <v>0</v>
      </c>
      <c r="F40" s="747">
        <v>3167100</v>
      </c>
      <c r="G40" s="747">
        <v>7545571</v>
      </c>
      <c r="H40" s="747"/>
      <c r="I40" s="747"/>
      <c r="J40" s="747">
        <v>16982346</v>
      </c>
      <c r="K40" s="747"/>
      <c r="L40" s="747">
        <v>3335837</v>
      </c>
      <c r="M40" s="747"/>
      <c r="N40" s="109">
        <f t="shared" si="4"/>
        <v>-36179708</v>
      </c>
      <c r="O40" s="759"/>
      <c r="P40" s="747"/>
      <c r="Q40" s="749"/>
    </row>
    <row r="41" spans="1:17" ht="12.75" customHeight="1" x14ac:dyDescent="0.25">
      <c r="A41" s="87" t="s">
        <v>1085</v>
      </c>
      <c r="B41" s="41"/>
      <c r="C41" s="76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109">
        <f t="shared" si="4"/>
        <v>0</v>
      </c>
      <c r="O41" s="759"/>
      <c r="P41" s="747"/>
      <c r="Q41" s="749"/>
    </row>
    <row r="42" spans="1:17" ht="12.75" customHeight="1" x14ac:dyDescent="0.25">
      <c r="A42" s="87" t="s">
        <v>1087</v>
      </c>
      <c r="B42" s="41"/>
      <c r="C42" s="767">
        <v>290774.03200423735</v>
      </c>
      <c r="D42" s="747">
        <v>854027.16999999993</v>
      </c>
      <c r="E42" s="747">
        <v>393674.54</v>
      </c>
      <c r="F42" s="747">
        <v>113101.66</v>
      </c>
      <c r="G42" s="747">
        <v>797091.83</v>
      </c>
      <c r="H42" s="747">
        <v>49918</v>
      </c>
      <c r="I42" s="747">
        <v>150318.91000000003</v>
      </c>
      <c r="J42" s="747">
        <v>312666.40000000002</v>
      </c>
      <c r="K42" s="747">
        <v>394487.4</v>
      </c>
      <c r="L42" s="747">
        <v>750714</v>
      </c>
      <c r="M42" s="747"/>
      <c r="N42" s="109">
        <f t="shared" si="4"/>
        <v>-4106773.9420042373</v>
      </c>
      <c r="O42" s="759"/>
      <c r="P42" s="747"/>
      <c r="Q42" s="749"/>
    </row>
    <row r="43" spans="1:17" ht="12.75" customHeight="1" x14ac:dyDescent="0.25">
      <c r="A43" s="87" t="s">
        <v>1004</v>
      </c>
      <c r="B43" s="41"/>
      <c r="C43" s="767">
        <v>1366019.05</v>
      </c>
      <c r="D43" s="747">
        <v>0</v>
      </c>
      <c r="E43" s="747">
        <v>1199316.42</v>
      </c>
      <c r="F43" s="747">
        <v>742651.76</v>
      </c>
      <c r="G43" s="747">
        <v>390220.95</v>
      </c>
      <c r="H43" s="747">
        <v>20362</v>
      </c>
      <c r="I43" s="747">
        <v>1051800</v>
      </c>
      <c r="J43" s="747">
        <v>1139510.56</v>
      </c>
      <c r="K43" s="747">
        <v>1562406.37</v>
      </c>
      <c r="L43" s="747">
        <v>571158</v>
      </c>
      <c r="M43" s="747"/>
      <c r="N43" s="109">
        <f t="shared" si="4"/>
        <v>-8043445.1100000003</v>
      </c>
      <c r="O43" s="759"/>
      <c r="P43" s="747"/>
      <c r="Q43" s="749"/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/>
      <c r="J44" s="747"/>
      <c r="K44" s="747">
        <v>0</v>
      </c>
      <c r="L44" s="747"/>
      <c r="M44" s="747"/>
      <c r="N44" s="109">
        <f t="shared" si="4"/>
        <v>0</v>
      </c>
      <c r="O44" s="759"/>
      <c r="P44" s="747"/>
      <c r="Q44" s="749"/>
    </row>
    <row r="45" spans="1:17" ht="12.75" customHeight="1" x14ac:dyDescent="0.25">
      <c r="A45" s="87" t="s">
        <v>1092</v>
      </c>
      <c r="B45" s="41"/>
      <c r="C45" s="767">
        <v>880000</v>
      </c>
      <c r="D45" s="747">
        <v>0</v>
      </c>
      <c r="E45" s="747">
        <v>285295</v>
      </c>
      <c r="F45" s="747">
        <v>266630</v>
      </c>
      <c r="G45" s="747">
        <v>310200</v>
      </c>
      <c r="H45" s="747">
        <v>338695</v>
      </c>
      <c r="I45" s="747">
        <v>252950</v>
      </c>
      <c r="J45" s="747">
        <v>316865</v>
      </c>
      <c r="K45" s="747">
        <v>181475</v>
      </c>
      <c r="L45" s="747">
        <v>286990</v>
      </c>
      <c r="M45" s="747"/>
      <c r="N45" s="109">
        <f t="shared" si="4"/>
        <v>-3119100</v>
      </c>
      <c r="O45" s="759"/>
      <c r="P45" s="747"/>
      <c r="Q45" s="749"/>
    </row>
    <row r="46" spans="1:17" ht="12.75" customHeight="1" x14ac:dyDescent="0.25">
      <c r="A46" s="87" t="s">
        <v>1005</v>
      </c>
      <c r="B46" s="41"/>
      <c r="C46" s="767">
        <v>41744939</v>
      </c>
      <c r="D46" s="747">
        <v>267954</v>
      </c>
      <c r="E46" s="747">
        <v>21918082</v>
      </c>
      <c r="F46" s="747">
        <v>12325011</v>
      </c>
      <c r="G46" s="747">
        <v>1300729</v>
      </c>
      <c r="H46" s="747">
        <v>14034568</v>
      </c>
      <c r="I46" s="747">
        <v>1550551</v>
      </c>
      <c r="J46" s="747">
        <v>874727</v>
      </c>
      <c r="K46" s="747">
        <v>11628481</v>
      </c>
      <c r="L46" s="747">
        <v>6574770</v>
      </c>
      <c r="M46" s="747"/>
      <c r="N46" s="109">
        <f t="shared" si="4"/>
        <v>-112219812</v>
      </c>
      <c r="O46" s="759"/>
      <c r="P46" s="747"/>
      <c r="Q46" s="749"/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51831133.80200424</v>
      </c>
      <c r="D47" s="433">
        <f t="shared" ref="D47:Q47" si="5">SUM(D37:D46)</f>
        <v>16795361.030000001</v>
      </c>
      <c r="E47" s="433">
        <f t="shared" si="5"/>
        <v>34699689.960000001</v>
      </c>
      <c r="F47" s="433">
        <f t="shared" si="5"/>
        <v>25835337.280000001</v>
      </c>
      <c r="G47" s="433">
        <f t="shared" si="5"/>
        <v>19762295.639999997</v>
      </c>
      <c r="H47" s="433">
        <f t="shared" si="5"/>
        <v>23925747.859999999</v>
      </c>
      <c r="I47" s="433">
        <f t="shared" si="5"/>
        <v>13924668.91</v>
      </c>
      <c r="J47" s="433">
        <f t="shared" si="5"/>
        <v>29890413.989999998</v>
      </c>
      <c r="K47" s="433">
        <f t="shared" si="5"/>
        <v>23606952.530000001</v>
      </c>
      <c r="L47" s="433">
        <f t="shared" si="5"/>
        <v>21203332</v>
      </c>
      <c r="M47" s="433">
        <f t="shared" si="5"/>
        <v>0</v>
      </c>
      <c r="N47" s="511">
        <f t="shared" si="5"/>
        <v>-261474933.00200427</v>
      </c>
      <c r="O47" s="478">
        <f t="shared" si="5"/>
        <v>0</v>
      </c>
      <c r="P47" s="433">
        <f t="shared" si="5"/>
        <v>0</v>
      </c>
      <c r="Q47" s="516">
        <f t="shared" si="5"/>
        <v>0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6108587</v>
      </c>
      <c r="D50" s="747">
        <v>330675</v>
      </c>
      <c r="E50" s="747">
        <v>1176888</v>
      </c>
      <c r="F50" s="747">
        <v>4162405</v>
      </c>
      <c r="G50" s="747">
        <v>9959155</v>
      </c>
      <c r="H50" s="747">
        <v>4761825</v>
      </c>
      <c r="I50" s="747">
        <v>4858051</v>
      </c>
      <c r="J50" s="747">
        <v>7648776</v>
      </c>
      <c r="K50" s="747">
        <v>32938</v>
      </c>
      <c r="L50" s="747">
        <v>6338423</v>
      </c>
      <c r="M50" s="747"/>
      <c r="N50" s="109">
        <f>O50-SUM(C50:M50)</f>
        <v>-45377723</v>
      </c>
      <c r="O50" s="759"/>
      <c r="P50" s="747"/>
      <c r="Q50" s="749"/>
    </row>
    <row r="51" spans="1:17" ht="12.75" customHeight="1" x14ac:dyDescent="0.25">
      <c r="A51" s="87" t="s">
        <v>1064</v>
      </c>
      <c r="B51" s="41"/>
      <c r="C51" s="767"/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57939720.80200424</v>
      </c>
      <c r="D53" s="74">
        <f t="shared" si="6"/>
        <v>17126036.030000001</v>
      </c>
      <c r="E53" s="74">
        <f t="shared" si="6"/>
        <v>35876577.960000001</v>
      </c>
      <c r="F53" s="74">
        <f t="shared" si="6"/>
        <v>29997742.280000001</v>
      </c>
      <c r="G53" s="74">
        <f t="shared" si="6"/>
        <v>29721450.639999997</v>
      </c>
      <c r="H53" s="74">
        <f t="shared" si="6"/>
        <v>28687572.859999999</v>
      </c>
      <c r="I53" s="74">
        <f t="shared" si="6"/>
        <v>18782719.91</v>
      </c>
      <c r="J53" s="74">
        <f t="shared" si="6"/>
        <v>37539189.989999995</v>
      </c>
      <c r="K53" s="74">
        <f t="shared" si="6"/>
        <v>23639890.530000001</v>
      </c>
      <c r="L53" s="74">
        <f t="shared" si="6"/>
        <v>27541755</v>
      </c>
      <c r="M53" s="74">
        <f t="shared" si="6"/>
        <v>0</v>
      </c>
      <c r="N53" s="323">
        <f t="shared" si="6"/>
        <v>-306852656.00200427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18500347.097995766</v>
      </c>
      <c r="D55" s="51">
        <f t="shared" si="7"/>
        <v>-5471233.4900000021</v>
      </c>
      <c r="E55" s="51">
        <f t="shared" si="7"/>
        <v>-12277223.960000001</v>
      </c>
      <c r="F55" s="51">
        <f t="shared" si="7"/>
        <v>-13703952.890000001</v>
      </c>
      <c r="G55" s="51">
        <f t="shared" si="7"/>
        <v>60103128.679999992</v>
      </c>
      <c r="H55" s="51">
        <f t="shared" si="7"/>
        <v>-14825235.859999999</v>
      </c>
      <c r="I55" s="51">
        <f t="shared" si="7"/>
        <v>-11714690.91</v>
      </c>
      <c r="J55" s="51">
        <f t="shared" si="7"/>
        <v>-25757867.899999995</v>
      </c>
      <c r="K55" s="51">
        <f t="shared" si="7"/>
        <v>20930406.640000001</v>
      </c>
      <c r="L55" s="51">
        <f t="shared" si="7"/>
        <v>-18668693</v>
      </c>
      <c r="M55" s="51">
        <f t="shared" si="7"/>
        <v>0</v>
      </c>
      <c r="N55" s="111">
        <f t="shared" si="7"/>
        <v>2885015.5920042396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 x14ac:dyDescent="0.25">
      <c r="A56" s="87" t="s">
        <v>709</v>
      </c>
      <c r="B56" s="41"/>
      <c r="C56" s="767">
        <v>18909493</v>
      </c>
      <c r="D56" s="45">
        <f>C57</f>
        <v>37409840.097995766</v>
      </c>
      <c r="E56" s="45">
        <f t="shared" ref="E56:N56" si="8">D57</f>
        <v>31938606.607995763</v>
      </c>
      <c r="F56" s="45">
        <f t="shared" si="8"/>
        <v>19661382.647995763</v>
      </c>
      <c r="G56" s="45">
        <f t="shared" si="8"/>
        <v>5957429.7579957619</v>
      </c>
      <c r="H56" s="45">
        <f t="shared" si="8"/>
        <v>66060558.437995754</v>
      </c>
      <c r="I56" s="45">
        <f t="shared" si="8"/>
        <v>51235322.577995755</v>
      </c>
      <c r="J56" s="45">
        <f t="shared" si="8"/>
        <v>39520631.667995751</v>
      </c>
      <c r="K56" s="45">
        <f t="shared" si="8"/>
        <v>13762763.767995756</v>
      </c>
      <c r="L56" s="45">
        <f t="shared" si="8"/>
        <v>34693170.40799576</v>
      </c>
      <c r="M56" s="45">
        <f t="shared" si="8"/>
        <v>16024477.40799576</v>
      </c>
      <c r="N56" s="109">
        <f t="shared" si="8"/>
        <v>16024477.40799576</v>
      </c>
      <c r="O56" s="47">
        <f>C56</f>
        <v>18909493</v>
      </c>
      <c r="P56" s="45">
        <f>O57</f>
        <v>18909493</v>
      </c>
      <c r="Q56" s="145">
        <f>P57</f>
        <v>18909493</v>
      </c>
    </row>
    <row r="57" spans="1:17" ht="12.75" customHeight="1" x14ac:dyDescent="0.25">
      <c r="A57" s="324" t="s">
        <v>816</v>
      </c>
      <c r="B57" s="177"/>
      <c r="C57" s="302">
        <f>C55+C56</f>
        <v>37409840.097995766</v>
      </c>
      <c r="D57" s="116">
        <f>D55+D56</f>
        <v>31938606.607995763</v>
      </c>
      <c r="E57" s="116">
        <f t="shared" ref="E57:N57" si="9">E55+E56</f>
        <v>19661382.647995763</v>
      </c>
      <c r="F57" s="116">
        <f t="shared" si="9"/>
        <v>5957429.7579957619</v>
      </c>
      <c r="G57" s="116">
        <f t="shared" si="9"/>
        <v>66060558.437995754</v>
      </c>
      <c r="H57" s="116">
        <f t="shared" si="9"/>
        <v>51235322.577995755</v>
      </c>
      <c r="I57" s="116">
        <f t="shared" si="9"/>
        <v>39520631.667995751</v>
      </c>
      <c r="J57" s="116">
        <f t="shared" si="9"/>
        <v>13762763.767995756</v>
      </c>
      <c r="K57" s="116">
        <f t="shared" si="9"/>
        <v>34693170.40799576</v>
      </c>
      <c r="L57" s="116">
        <f t="shared" si="9"/>
        <v>16024477.40799576</v>
      </c>
      <c r="M57" s="116">
        <f t="shared" si="9"/>
        <v>16024477.40799576</v>
      </c>
      <c r="N57" s="320">
        <f t="shared" si="9"/>
        <v>18909493</v>
      </c>
      <c r="O57" s="117">
        <f>O55+O56</f>
        <v>18909493</v>
      </c>
      <c r="P57" s="116">
        <f>P55+P56</f>
        <v>18909493</v>
      </c>
      <c r="Q57" s="191">
        <f>Q55+Q56</f>
        <v>18909493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34699689.960000001</v>
      </c>
      <c r="F66" s="86">
        <f t="shared" si="10"/>
        <v>25835337.280000001</v>
      </c>
      <c r="G66" s="86">
        <f t="shared" si="10"/>
        <v>19762295.639999997</v>
      </c>
      <c r="H66" s="86">
        <f t="shared" si="10"/>
        <v>23925747.859999999</v>
      </c>
      <c r="I66" s="86">
        <f t="shared" si="10"/>
        <v>13924668.91</v>
      </c>
      <c r="J66" s="86">
        <f t="shared" si="10"/>
        <v>29890413.989999998</v>
      </c>
      <c r="K66" s="86">
        <f t="shared" si="10"/>
        <v>23606952.530000001</v>
      </c>
      <c r="L66" s="86">
        <f t="shared" si="10"/>
        <v>21203332</v>
      </c>
      <c r="M66" s="86"/>
      <c r="N66" s="86">
        <f>N47+N65</f>
        <v>-261474933.00200427</v>
      </c>
      <c r="O66" s="86">
        <f t="shared" si="10"/>
        <v>0</v>
      </c>
      <c r="P66" s="86">
        <f t="shared" si="10"/>
        <v>0</v>
      </c>
    </row>
    <row r="67" spans="5:16" x14ac:dyDescent="0.25">
      <c r="E67" s="86">
        <f t="shared" ref="E67:P67" si="11">E55-E65</f>
        <v>-12277223.960000001</v>
      </c>
      <c r="F67" s="86">
        <f t="shared" si="11"/>
        <v>-13703952.890000001</v>
      </c>
      <c r="G67" s="86">
        <f t="shared" si="11"/>
        <v>60103128.679999992</v>
      </c>
      <c r="H67" s="86">
        <f t="shared" si="11"/>
        <v>-14825235.859999999</v>
      </c>
      <c r="I67" s="86">
        <f t="shared" si="11"/>
        <v>-11714690.91</v>
      </c>
      <c r="J67" s="86">
        <f t="shared" si="11"/>
        <v>-25757867.899999995</v>
      </c>
      <c r="K67" s="86">
        <f t="shared" si="11"/>
        <v>20930406.640000001</v>
      </c>
      <c r="L67" s="86">
        <f t="shared" si="11"/>
        <v>-18668693</v>
      </c>
      <c r="M67" s="86">
        <f>M55-M65</f>
        <v>0</v>
      </c>
      <c r="N67" s="86">
        <f>N55-N65</f>
        <v>2885015.5920042396</v>
      </c>
      <c r="O67" s="86">
        <f t="shared" si="11"/>
        <v>0</v>
      </c>
      <c r="P67" s="86">
        <f t="shared" si="11"/>
        <v>0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5" type="noConversion"/>
  <printOptions horizontalCentered="1"/>
  <pageMargins left="0.55000000000000004" right="0.19685039370078741" top="0.52" bottom="0.23" header="0.51181102362204722" footer="0.21"/>
  <pageSetup paperSize="9" scale="6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"&amp;S71P&amp; " - "&amp;Head57</f>
        <v>NW385 Ramotshere Moiloa - NOT REQUIRED - municipality does not have entities or this is the parent municipality's budget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"&amp;S71Q&amp; " - "&amp;Head57</f>
        <v>NW385 Ramotshere Moiloa - NOT REQUIRED - municipality does not have entities or this is the parent municipality's budget - M10 April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59" t="str">
        <f>Head1</f>
        <v>2014/15</v>
      </c>
      <c r="D2" s="980" t="str">
        <f>Head2</f>
        <v>Budget Year 2015/16</v>
      </c>
      <c r="E2" s="981"/>
      <c r="F2" s="981"/>
      <c r="G2" s="981"/>
      <c r="H2" s="981"/>
      <c r="I2" s="981"/>
      <c r="J2" s="981"/>
      <c r="K2" s="982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5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sqref="A1:J1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6" t="str">
        <f>muni&amp; " - "&amp;S71R&amp; " - "&amp;Head57</f>
        <v>NW385 Ramotshere Moiloa - Supporting Table SC12 Monthly Budget Statement - capital expenditure trend - M10 April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0" x14ac:dyDescent="0.25">
      <c r="A2" s="985" t="s">
        <v>1048</v>
      </c>
      <c r="B2" s="140" t="str">
        <f>Head1</f>
        <v>2014/15</v>
      </c>
      <c r="C2" s="980" t="str">
        <f>Head2</f>
        <v>Budget Year 2015/16</v>
      </c>
      <c r="D2" s="981"/>
      <c r="E2" s="981"/>
      <c r="F2" s="981"/>
      <c r="G2" s="981"/>
      <c r="H2" s="981"/>
      <c r="I2" s="981"/>
      <c r="J2" s="982"/>
    </row>
    <row r="3" spans="1:10" ht="38.25" x14ac:dyDescent="0.25">
      <c r="A3" s="986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v>8808585.2600800004</v>
      </c>
      <c r="D6" s="747"/>
      <c r="E6" s="747">
        <v>6108587</v>
      </c>
      <c r="F6" s="411">
        <f>IF(E6&gt;0,E6,"")</f>
        <v>6108587</v>
      </c>
      <c r="G6" s="411">
        <f>IF(D6&gt;0,D6,C6)</f>
        <v>8808585.2600800004</v>
      </c>
      <c r="H6" s="45">
        <f t="shared" ref="H6:H16" si="0">IF(F6="",0,G6-F6)</f>
        <v>2699998.2600800004</v>
      </c>
      <c r="I6" s="125">
        <f t="shared" ref="I6:I16" si="1">IF(F6="","",IF(H6=0,"",H6/G6))</f>
        <v>0.30651894491119208</v>
      </c>
      <c r="J6" s="684">
        <f t="shared" ref="J6:J16" si="2">IF(F6="","",F6/$C$18)</f>
        <v>5.779008792406734E-2</v>
      </c>
    </row>
    <row r="7" spans="1:10" ht="12.75" customHeight="1" x14ac:dyDescent="0.25">
      <c r="A7" s="40" t="s">
        <v>1072</v>
      </c>
      <c r="B7" s="762"/>
      <c r="C7" s="767">
        <v>8808585.2600800004</v>
      </c>
      <c r="D7" s="747"/>
      <c r="E7" s="747">
        <v>330675</v>
      </c>
      <c r="F7" s="411">
        <f>IF(E7&gt;0,E7+F6,"")</f>
        <v>6439262</v>
      </c>
      <c r="G7" s="411">
        <f>IF(D7&gt;0,D7+D6,C7+C6)</f>
        <v>17617170.520160001</v>
      </c>
      <c r="H7" s="45">
        <f t="shared" si="0"/>
        <v>11177908.520160001</v>
      </c>
      <c r="I7" s="125">
        <f t="shared" si="1"/>
        <v>0.63448943219166176</v>
      </c>
      <c r="J7" s="684">
        <f t="shared" si="2"/>
        <v>6.0918427968056389E-2</v>
      </c>
    </row>
    <row r="8" spans="1:10" ht="12.75" customHeight="1" x14ac:dyDescent="0.25">
      <c r="A8" s="40" t="s">
        <v>679</v>
      </c>
      <c r="B8" s="762"/>
      <c r="C8" s="767">
        <v>8808585.2600800004</v>
      </c>
      <c r="D8" s="747"/>
      <c r="E8" s="747">
        <v>9321519</v>
      </c>
      <c r="F8" s="411">
        <f t="shared" ref="F8:F17" si="3">IF(E8&gt;0,E8+F7,"")</f>
        <v>15760781</v>
      </c>
      <c r="G8" s="411">
        <f>IF(D8&gt;0,D8+G7,C8+G7)</f>
        <v>26425755.780239999</v>
      </c>
      <c r="H8" s="45">
        <f t="shared" si="0"/>
        <v>10664974.780239999</v>
      </c>
      <c r="I8" s="125">
        <f t="shared" si="1"/>
        <v>0.40358258317874834</v>
      </c>
      <c r="J8" s="684">
        <f t="shared" si="2"/>
        <v>0.14910435420531293</v>
      </c>
    </row>
    <row r="9" spans="1:10" ht="12.75" customHeight="1" x14ac:dyDescent="0.25">
      <c r="A9" s="40" t="s">
        <v>1073</v>
      </c>
      <c r="B9" s="762"/>
      <c r="C9" s="767">
        <v>8808585.2600800004</v>
      </c>
      <c r="D9" s="747"/>
      <c r="E9" s="747">
        <v>4663933</v>
      </c>
      <c r="F9" s="411">
        <f t="shared" si="3"/>
        <v>20424714</v>
      </c>
      <c r="G9" s="411">
        <f t="shared" ref="G9:G17" si="4">IF(D9&gt;0,D9+G8,C9+G8)</f>
        <v>35234341.040320002</v>
      </c>
      <c r="H9" s="45">
        <f t="shared" si="0"/>
        <v>14809627.040320002</v>
      </c>
      <c r="I9" s="125">
        <f t="shared" si="1"/>
        <v>0.42031797964868367</v>
      </c>
      <c r="J9" s="684">
        <f t="shared" si="2"/>
        <v>0.19322734011710549</v>
      </c>
    </row>
    <row r="10" spans="1:10" ht="12.75" customHeight="1" x14ac:dyDescent="0.25">
      <c r="A10" s="40" t="s">
        <v>1074</v>
      </c>
      <c r="B10" s="762"/>
      <c r="C10" s="767">
        <v>8808585.2600800004</v>
      </c>
      <c r="D10" s="747"/>
      <c r="E10" s="747">
        <v>9959155</v>
      </c>
      <c r="F10" s="411">
        <f t="shared" si="3"/>
        <v>30383869</v>
      </c>
      <c r="G10" s="411">
        <f t="shared" si="4"/>
        <v>44042926.300400004</v>
      </c>
      <c r="H10" s="45">
        <f t="shared" si="0"/>
        <v>13659057.300400004</v>
      </c>
      <c r="I10" s="125">
        <f t="shared" si="1"/>
        <v>0.31013055779347592</v>
      </c>
      <c r="J10" s="684">
        <f t="shared" si="2"/>
        <v>0.28744560091938509</v>
      </c>
    </row>
    <row r="11" spans="1:10" ht="12.75" customHeight="1" x14ac:dyDescent="0.25">
      <c r="A11" s="40" t="s">
        <v>1075</v>
      </c>
      <c r="B11" s="762"/>
      <c r="C11" s="767">
        <v>8808585.2600800004</v>
      </c>
      <c r="D11" s="747"/>
      <c r="E11" s="747">
        <v>4761825</v>
      </c>
      <c r="F11" s="411">
        <f t="shared" si="3"/>
        <v>35145694</v>
      </c>
      <c r="G11" s="411">
        <f t="shared" si="4"/>
        <v>52851511.560480006</v>
      </c>
      <c r="H11" s="45">
        <f t="shared" si="0"/>
        <v>17705817.560480006</v>
      </c>
      <c r="I11" s="125">
        <f t="shared" si="1"/>
        <v>0.33501061819619976</v>
      </c>
      <c r="J11" s="684">
        <f t="shared" si="2"/>
        <v>0.3324946909019002</v>
      </c>
    </row>
    <row r="12" spans="1:10" ht="12.75" customHeight="1" x14ac:dyDescent="0.25">
      <c r="A12" s="40" t="s">
        <v>1076</v>
      </c>
      <c r="B12" s="762"/>
      <c r="C12" s="767">
        <v>8808585.2600800004</v>
      </c>
      <c r="D12" s="747"/>
      <c r="E12" s="747">
        <v>4858051</v>
      </c>
      <c r="F12" s="411">
        <f t="shared" si="3"/>
        <v>40003745</v>
      </c>
      <c r="G12" s="411">
        <f t="shared" si="4"/>
        <v>61660096.820560008</v>
      </c>
      <c r="H12" s="45">
        <f t="shared" si="0"/>
        <v>21656351.820560008</v>
      </c>
      <c r="I12" s="125">
        <f t="shared" si="1"/>
        <v>0.35122150202882735</v>
      </c>
      <c r="J12" s="684">
        <f t="shared" si="2"/>
        <v>0.3784541238165175</v>
      </c>
    </row>
    <row r="13" spans="1:10" ht="12.75" customHeight="1" x14ac:dyDescent="0.25">
      <c r="A13" s="40" t="s">
        <v>1077</v>
      </c>
      <c r="B13" s="762"/>
      <c r="C13" s="767">
        <v>8808585.2600800004</v>
      </c>
      <c r="D13" s="747"/>
      <c r="E13" s="747">
        <v>7648776</v>
      </c>
      <c r="F13" s="411">
        <f t="shared" si="3"/>
        <v>47652521</v>
      </c>
      <c r="G13" s="411">
        <f t="shared" si="4"/>
        <v>70468682.080640003</v>
      </c>
      <c r="H13" s="45">
        <f t="shared" si="0"/>
        <v>22816161.080640003</v>
      </c>
      <c r="I13" s="125">
        <f t="shared" si="1"/>
        <v>0.32377732074697524</v>
      </c>
      <c r="J13" s="684">
        <f t="shared" si="2"/>
        <v>0.45081511950201664</v>
      </c>
    </row>
    <row r="14" spans="1:10" ht="12.75" customHeight="1" x14ac:dyDescent="0.25">
      <c r="A14" s="40" t="s">
        <v>1078</v>
      </c>
      <c r="B14" s="762"/>
      <c r="C14" s="767">
        <v>8808585.2600800004</v>
      </c>
      <c r="D14" s="747"/>
      <c r="E14" s="747">
        <v>32938</v>
      </c>
      <c r="F14" s="411">
        <f t="shared" si="3"/>
        <v>47685459</v>
      </c>
      <c r="G14" s="411">
        <f t="shared" si="4"/>
        <v>79277267.340719998</v>
      </c>
      <c r="H14" s="45">
        <f t="shared" si="0"/>
        <v>31591808.340719998</v>
      </c>
      <c r="I14" s="125">
        <f t="shared" si="1"/>
        <v>0.39849769549881009</v>
      </c>
      <c r="J14" s="684">
        <f t="shared" si="2"/>
        <v>0.45112672837589252</v>
      </c>
    </row>
    <row r="15" spans="1:10" ht="12.75" customHeight="1" x14ac:dyDescent="0.25">
      <c r="A15" s="40" t="s">
        <v>1079</v>
      </c>
      <c r="B15" s="762"/>
      <c r="C15" s="767">
        <v>8808585.2600800004</v>
      </c>
      <c r="D15" s="747"/>
      <c r="E15" s="747">
        <v>2048835</v>
      </c>
      <c r="F15" s="411">
        <f t="shared" si="3"/>
        <v>49734294</v>
      </c>
      <c r="G15" s="411">
        <f t="shared" si="4"/>
        <v>88085852.600799993</v>
      </c>
      <c r="H15" s="45">
        <f t="shared" si="0"/>
        <v>38351558.600799993</v>
      </c>
      <c r="I15" s="125">
        <f t="shared" si="1"/>
        <v>0.43538840197877232</v>
      </c>
      <c r="J15" s="685">
        <f t="shared" si="2"/>
        <v>0.47050966501768982</v>
      </c>
    </row>
    <row r="16" spans="1:10" ht="12.75" customHeight="1" x14ac:dyDescent="0.25">
      <c r="A16" s="40" t="s">
        <v>1080</v>
      </c>
      <c r="B16" s="762"/>
      <c r="C16" s="767">
        <v>8808585.2600800004</v>
      </c>
      <c r="D16" s="747"/>
      <c r="E16" s="747"/>
      <c r="F16" s="411" t="str">
        <f t="shared" si="3"/>
        <v/>
      </c>
      <c r="G16" s="411">
        <f t="shared" si="4"/>
        <v>96894437.860879987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 x14ac:dyDescent="0.25">
      <c r="A17" s="248" t="s">
        <v>1081</v>
      </c>
      <c r="B17" s="763"/>
      <c r="C17" s="771">
        <v>8808585.2600800004</v>
      </c>
      <c r="D17" s="765"/>
      <c r="E17" s="765"/>
      <c r="F17" s="412" t="str">
        <f t="shared" si="3"/>
        <v/>
      </c>
      <c r="G17" s="412">
        <f t="shared" si="4"/>
        <v>105703023.12095998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105703023.12095998</v>
      </c>
      <c r="D18" s="77">
        <f>SUM(D6:D17)</f>
        <v>0</v>
      </c>
      <c r="E18" s="77">
        <f>SUM(E6:E17)</f>
        <v>49734294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47" t="s">
        <v>789</v>
      </c>
      <c r="B1" s="948"/>
      <c r="C1" s="948"/>
      <c r="D1" s="949"/>
    </row>
    <row r="2" spans="1:4" x14ac:dyDescent="0.2">
      <c r="A2" s="735" t="s">
        <v>1069</v>
      </c>
      <c r="B2" s="736" t="str">
        <f>HLOOKUP(MTREF,Headings,2)</f>
        <v>2014/15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2015/16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2015/16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2015/16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2015/16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2016/17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2017/18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2015/16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M10 April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52" t="s">
        <v>902</v>
      </c>
      <c r="B72" s="953"/>
      <c r="C72" s="953"/>
      <c r="D72" s="954"/>
    </row>
    <row r="73" spans="1:6" x14ac:dyDescent="0.2">
      <c r="A73" s="744" t="s">
        <v>804</v>
      </c>
      <c r="B73" s="745" t="str">
        <f>'Lookup and lists'!B27</f>
        <v>NW385 Ramotshere Moiloa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50" t="s">
        <v>948</v>
      </c>
      <c r="B76" s="951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1270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1219</v>
      </c>
      <c r="B99" s="4" t="str">
        <f t="shared" si="1"/>
        <v>Supporting Table SC13d Monthly Budget Statement - depreciation by asset class</v>
      </c>
      <c r="C99" s="4"/>
      <c r="D99" s="14" t="s">
        <v>1220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2015/16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2015/16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1269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1271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5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"&amp;S71Sa&amp; " - "&amp;Head57</f>
        <v>NW385 Ramotshere Moiloa - Supporting Table SC13a Monthly Budget Statement - capital expenditure on new assets by asset class - M10 April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99679795.768000007</v>
      </c>
      <c r="E7" s="103">
        <f t="shared" si="0"/>
        <v>61670795.767999999</v>
      </c>
      <c r="F7" s="103">
        <f t="shared" si="0"/>
        <v>2022835</v>
      </c>
      <c r="G7" s="103">
        <f t="shared" si="0"/>
        <v>44146528</v>
      </c>
      <c r="H7" s="103">
        <f t="shared" si="0"/>
        <v>66453197.178666666</v>
      </c>
      <c r="I7" s="102">
        <f t="shared" ref="I7:I76" si="1">H7-G7</f>
        <v>22306669.178666666</v>
      </c>
      <c r="J7" s="588">
        <f t="shared" ref="J7:J76" si="2">IF(I7=0,"",I7/H7)</f>
        <v>0.33567488286068092</v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79545000</v>
      </c>
      <c r="E8" s="618">
        <f t="shared" si="3"/>
        <v>41536000</v>
      </c>
      <c r="F8" s="618">
        <f t="shared" si="3"/>
        <v>1335385</v>
      </c>
      <c r="G8" s="618">
        <f t="shared" si="3"/>
        <v>28661764</v>
      </c>
      <c r="H8" s="618">
        <f t="shared" si="3"/>
        <v>53030000</v>
      </c>
      <c r="I8" s="259">
        <f t="shared" si="1"/>
        <v>24368236</v>
      </c>
      <c r="J8" s="584">
        <f t="shared" si="2"/>
        <v>0.45951793324533285</v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>
        <v>79545000</v>
      </c>
      <c r="E9" s="747">
        <v>41536000</v>
      </c>
      <c r="F9" s="747">
        <v>1335385</v>
      </c>
      <c r="G9" s="747">
        <v>28661764</v>
      </c>
      <c r="H9" s="747">
        <f>D9/12*8</f>
        <v>53030000</v>
      </c>
      <c r="I9" s="259">
        <f t="shared" si="1"/>
        <v>24368236</v>
      </c>
      <c r="J9" s="584">
        <f t="shared" si="2"/>
        <v>0.45951793324533285</v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16000000</v>
      </c>
      <c r="E11" s="411">
        <f t="shared" si="4"/>
        <v>16000000</v>
      </c>
      <c r="F11" s="411">
        <f t="shared" si="4"/>
        <v>687450</v>
      </c>
      <c r="G11" s="411">
        <f t="shared" si="4"/>
        <v>9297586</v>
      </c>
      <c r="H11" s="411">
        <f t="shared" si="4"/>
        <v>10666666.666666666</v>
      </c>
      <c r="I11" s="259">
        <f t="shared" si="1"/>
        <v>1369080.666666666</v>
      </c>
      <c r="J11" s="584">
        <f t="shared" si="2"/>
        <v>0.12835131249999995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16000000</v>
      </c>
      <c r="E13" s="747">
        <v>16000000</v>
      </c>
      <c r="F13" s="747">
        <v>687450</v>
      </c>
      <c r="G13" s="747">
        <f>8610136+F13</f>
        <v>9297586</v>
      </c>
      <c r="H13" s="747">
        <f>D13/12*8</f>
        <v>10666666.666666666</v>
      </c>
      <c r="I13" s="259">
        <f t="shared" si="1"/>
        <v>1369080.666666666</v>
      </c>
      <c r="J13" s="584">
        <f t="shared" si="2"/>
        <v>0.12835131249999995</v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3500000</v>
      </c>
      <c r="E15" s="411">
        <f t="shared" si="5"/>
        <v>3500000</v>
      </c>
      <c r="F15" s="411">
        <f t="shared" si="5"/>
        <v>0</v>
      </c>
      <c r="G15" s="411">
        <f t="shared" si="5"/>
        <v>5590994</v>
      </c>
      <c r="H15" s="411">
        <f t="shared" si="5"/>
        <v>2333333.3333333335</v>
      </c>
      <c r="I15" s="259">
        <f t="shared" si="1"/>
        <v>-3257660.6666666665</v>
      </c>
      <c r="J15" s="584">
        <f t="shared" si="2"/>
        <v>-1.3961402857142855</v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>
        <v>3500000</v>
      </c>
      <c r="E17" s="747">
        <v>3500000</v>
      </c>
      <c r="F17" s="747"/>
      <c r="G17" s="747">
        <v>5590994</v>
      </c>
      <c r="H17" s="747">
        <f>D17/12*8</f>
        <v>2333333.3333333335</v>
      </c>
      <c r="I17" s="259">
        <f t="shared" si="1"/>
        <v>-3257660.6666666665</v>
      </c>
      <c r="J17" s="584">
        <f t="shared" si="2"/>
        <v>-1.3961402857142855</v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634795.76800000004</v>
      </c>
      <c r="E22" s="411">
        <f t="shared" si="7"/>
        <v>634795.76800000004</v>
      </c>
      <c r="F22" s="411">
        <f t="shared" si="7"/>
        <v>0</v>
      </c>
      <c r="G22" s="411">
        <f t="shared" si="7"/>
        <v>596184</v>
      </c>
      <c r="H22" s="411">
        <f t="shared" si="7"/>
        <v>423197.17866666667</v>
      </c>
      <c r="I22" s="259">
        <f t="shared" si="1"/>
        <v>-172986.82133333333</v>
      </c>
      <c r="J22" s="584">
        <f t="shared" si="2"/>
        <v>-0.40876175469399156</v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>
        <v>634795.76800000004</v>
      </c>
      <c r="E23" s="747">
        <v>634795.76800000004</v>
      </c>
      <c r="F23" s="747"/>
      <c r="G23" s="747">
        <v>596184</v>
      </c>
      <c r="H23" s="747">
        <f>D23/12*8</f>
        <v>423197.17866666667</v>
      </c>
      <c r="I23" s="259">
        <f t="shared" si="1"/>
        <v>-172986.82133333333</v>
      </c>
      <c r="J23" s="584">
        <f t="shared" si="2"/>
        <v>-0.40876175469399156</v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3873227.3529599998</v>
      </c>
      <c r="E28" s="587">
        <f t="shared" si="8"/>
        <v>2410327.3529599998</v>
      </c>
      <c r="F28" s="587">
        <f t="shared" si="8"/>
        <v>0</v>
      </c>
      <c r="G28" s="587">
        <f t="shared" si="8"/>
        <v>1693172</v>
      </c>
      <c r="H28" s="587">
        <f t="shared" si="8"/>
        <v>2582151.5686399997</v>
      </c>
      <c r="I28" s="587">
        <f t="shared" si="1"/>
        <v>888979.56863999972</v>
      </c>
      <c r="J28" s="588">
        <f t="shared" si="2"/>
        <v>0.34427861611091198</v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>
        <v>2410327.3529599998</v>
      </c>
      <c r="E29" s="747">
        <v>2410327.3529599998</v>
      </c>
      <c r="F29" s="747">
        <v>0</v>
      </c>
      <c r="G29" s="747">
        <f>202711+F29+894277</f>
        <v>1096988</v>
      </c>
      <c r="H29" s="747">
        <f>D29/12*8</f>
        <v>1606884.9019733332</v>
      </c>
      <c r="I29" s="45">
        <f t="shared" si="1"/>
        <v>509896.90197333321</v>
      </c>
      <c r="J29" s="125">
        <f t="shared" si="2"/>
        <v>0.31732011505438562</v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>
        <v>1462900</v>
      </c>
      <c r="E36" s="747"/>
      <c r="F36" s="747"/>
      <c r="G36" s="747">
        <v>596184</v>
      </c>
      <c r="H36" s="747">
        <f>D36/12*8</f>
        <v>975266.66666666663</v>
      </c>
      <c r="I36" s="45">
        <f t="shared" si="1"/>
        <v>379082.66666666663</v>
      </c>
      <c r="J36" s="125">
        <f t="shared" si="2"/>
        <v>0.38869642490942646</v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2150000</v>
      </c>
      <c r="E50" s="587">
        <f t="shared" si="11"/>
        <v>3612638</v>
      </c>
      <c r="F50" s="587">
        <f t="shared" si="11"/>
        <v>26000</v>
      </c>
      <c r="G50" s="587">
        <f t="shared" si="11"/>
        <v>1812820</v>
      </c>
      <c r="H50" s="587">
        <f t="shared" si="11"/>
        <v>1433333.3333333333</v>
      </c>
      <c r="I50" s="587">
        <f t="shared" si="1"/>
        <v>-379486.66666666674</v>
      </c>
      <c r="J50" s="588">
        <f t="shared" si="2"/>
        <v>-0.26475813953488381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>
        <v>1462900</v>
      </c>
      <c r="F53" s="747">
        <v>26000</v>
      </c>
      <c r="G53" s="747">
        <f>F53+596184</f>
        <v>622184</v>
      </c>
      <c r="H53" s="747"/>
      <c r="I53" s="45">
        <f t="shared" si="1"/>
        <v>-622184</v>
      </c>
      <c r="J53" s="125" t="e">
        <f t="shared" si="2"/>
        <v>#DIV/0!</v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>
        <v>0</v>
      </c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>
        <v>2150000</v>
      </c>
      <c r="E58" s="747">
        <f>2150000-262</f>
        <v>2149738</v>
      </c>
      <c r="F58" s="747"/>
      <c r="G58" s="747">
        <f>296359+894277</f>
        <v>1190636</v>
      </c>
      <c r="H58" s="747">
        <f>D58/12*8</f>
        <v>1433333.3333333333</v>
      </c>
      <c r="I58" s="45">
        <f t="shared" si="1"/>
        <v>242697.33333333326</v>
      </c>
      <c r="J58" s="125">
        <f t="shared" si="2"/>
        <v>0.16932372093023251</v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0</v>
      </c>
      <c r="D76" s="272">
        <f t="shared" si="16"/>
        <v>105703023.12096001</v>
      </c>
      <c r="E76" s="56">
        <f t="shared" si="16"/>
        <v>67693761.120959997</v>
      </c>
      <c r="F76" s="56">
        <f t="shared" si="16"/>
        <v>2048835</v>
      </c>
      <c r="G76" s="56">
        <f t="shared" si="16"/>
        <v>47652520</v>
      </c>
      <c r="H76" s="56">
        <f t="shared" si="16"/>
        <v>70468682.080639988</v>
      </c>
      <c r="I76" s="56">
        <f t="shared" si="1"/>
        <v>22816162.080639988</v>
      </c>
      <c r="J76" s="293">
        <f t="shared" si="2"/>
        <v>0.32377733493767613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-47732912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-2048835</v>
      </c>
      <c r="H86" s="136">
        <f>H76+SC13b!H76-'C5-Capex'!H40</f>
        <v>-0.3333333432674408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"&amp;S71Sb&amp; " - "&amp;Head57</f>
        <v>NW385 Ramotshere Moiloa - Supporting Table SC13b Monthly Budget Statement - capital expenditure on renewal of existing assets by asset class - M10 April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-47732912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-2048835</v>
      </c>
      <c r="H86" s="136">
        <f>H76+SC13a!H76-'C5-Capex'!H40</f>
        <v>-0.3333333432674408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paperSize="9"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77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"&amp;S71Sc&amp; " - "&amp;Head57</f>
        <v>NW385 Ramotshere Moiloa - Supporting Table SC13c Monthly Budget Statement - expenditure on repairs and maintenance by asset class - M10 April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3906771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2250000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>
        <v>2250000</v>
      </c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1400000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>
        <v>1400000</v>
      </c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150000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>
        <v>150000</v>
      </c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106771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>
        <v>106771</v>
      </c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1101200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>
        <v>450000</v>
      </c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>
        <v>0</v>
      </c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>
        <v>0</v>
      </c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>
        <v>0</v>
      </c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>
        <v>5000</v>
      </c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>
        <v>235000</v>
      </c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>
        <v>0</v>
      </c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>
        <v>0</v>
      </c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>
        <v>0</v>
      </c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>
        <v>0</v>
      </c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>
        <v>0</v>
      </c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>
        <v>41200</v>
      </c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>
        <v>0</v>
      </c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>
        <v>370000</v>
      </c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12456705.530888716</v>
      </c>
      <c r="E50" s="587">
        <f t="shared" si="11"/>
        <v>5668735</v>
      </c>
      <c r="F50" s="587">
        <f t="shared" si="11"/>
        <v>750714</v>
      </c>
      <c r="G50" s="587">
        <f t="shared" si="11"/>
        <v>3727907</v>
      </c>
      <c r="H50" s="587">
        <f t="shared" si="11"/>
        <v>8304470.3539258102</v>
      </c>
      <c r="I50" s="587">
        <f t="shared" si="1"/>
        <v>4576563.3539258102</v>
      </c>
      <c r="J50" s="588">
        <f t="shared" si="2"/>
        <v>0.55109635640547627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>
        <v>2850000</v>
      </c>
      <c r="F51" s="747">
        <v>0</v>
      </c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>
        <v>703735</v>
      </c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>
        <v>250000</v>
      </c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 t="s">
        <v>1373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12456705.530888716</v>
      </c>
      <c r="E62" s="747">
        <v>1865000</v>
      </c>
      <c r="F62" s="747">
        <v>750714</v>
      </c>
      <c r="G62" s="747">
        <v>3727907</v>
      </c>
      <c r="H62" s="747">
        <f>(D62/12)*8</f>
        <v>8304470.3539258102</v>
      </c>
      <c r="I62" s="45">
        <f t="shared" si="1"/>
        <v>4576563.3539258102</v>
      </c>
      <c r="J62" s="125">
        <f t="shared" si="2"/>
        <v>0.55109635640547627</v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16">C7+C28+C43+C47+C50+C64+C68+C72</f>
        <v>0</v>
      </c>
      <c r="D76" s="272">
        <f t="shared" si="16"/>
        <v>12456705.530888716</v>
      </c>
      <c r="E76" s="56">
        <f t="shared" si="16"/>
        <v>10676706</v>
      </c>
      <c r="F76" s="56">
        <f t="shared" si="16"/>
        <v>750714</v>
      </c>
      <c r="G76" s="56">
        <f t="shared" si="16"/>
        <v>3727907</v>
      </c>
      <c r="H76" s="56">
        <f t="shared" si="16"/>
        <v>8304470.3539258102</v>
      </c>
      <c r="I76" s="56">
        <f>H76-G76</f>
        <v>4576563.3539258102</v>
      </c>
      <c r="J76" s="293">
        <f>IF(I76=0,"",I76/H76)</f>
        <v>0.55109635640547627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scale="6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49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"&amp;S71Sd&amp; " - "&amp;Head57</f>
        <v>NW385 Ramotshere Moiloa - Supporting Table SC13d Monthly Budget Statement - depreciation by asset class - M10 April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1251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6000000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6000000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1252</v>
      </c>
      <c r="B76" s="237"/>
      <c r="C76" s="113">
        <f t="shared" ref="C76:H76" si="16">C7+C28+C43+C47+C50+C64+C68+C72</f>
        <v>0</v>
      </c>
      <c r="D76" s="272">
        <f t="shared" si="16"/>
        <v>6000000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topLeftCell="A2" zoomScale="60" zoomScaleNormal="100" workbookViewId="0"/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2015/16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2014/15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8808585.2600800004</v>
      </c>
      <c r="D3" s="44">
        <f>'SC12'!D6</f>
        <v>0</v>
      </c>
      <c r="E3" s="46">
        <f>'SC12'!E6</f>
        <v>6108587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8808585.2600800004</v>
      </c>
      <c r="D4" s="44">
        <f>'SC12'!D7</f>
        <v>0</v>
      </c>
      <c r="E4" s="46">
        <f>'SC12'!E7</f>
        <v>330675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8808585.2600800004</v>
      </c>
      <c r="D5" s="44">
        <f>'SC12'!D8</f>
        <v>0</v>
      </c>
      <c r="E5" s="46">
        <f>'SC12'!E8</f>
        <v>9321519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8808585.2600800004</v>
      </c>
      <c r="D6" s="44">
        <f>'SC12'!D9</f>
        <v>0</v>
      </c>
      <c r="E6" s="46">
        <f>'SC12'!E9</f>
        <v>4663933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8808585.2600800004</v>
      </c>
      <c r="D7" s="44">
        <f>'SC12'!D10</f>
        <v>0</v>
      </c>
      <c r="E7" s="46">
        <f>'SC12'!E10</f>
        <v>9959155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8808585.2600800004</v>
      </c>
      <c r="D8" s="44">
        <f>'SC12'!D11</f>
        <v>0</v>
      </c>
      <c r="E8" s="46">
        <f>'SC12'!E11</f>
        <v>4761825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8808585.2600800004</v>
      </c>
      <c r="D9" s="44">
        <f>'SC12'!D12</f>
        <v>0</v>
      </c>
      <c r="E9" s="46">
        <f>'SC12'!E12</f>
        <v>4858051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8808585.2600800004</v>
      </c>
      <c r="D10" s="44">
        <f>'SC12'!D13</f>
        <v>0</v>
      </c>
      <c r="E10" s="46">
        <f>'SC12'!E13</f>
        <v>7648776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8808585.2600800004</v>
      </c>
      <c r="D11" s="44">
        <f>'SC12'!D14</f>
        <v>0</v>
      </c>
      <c r="E11" s="46">
        <f>'SC12'!E14</f>
        <v>32938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8808585.2600800004</v>
      </c>
      <c r="D12" s="44">
        <f>'SC12'!D15</f>
        <v>0</v>
      </c>
      <c r="E12" s="46">
        <f>'SC12'!E15</f>
        <v>2048835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8808585.2600800004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8808585.2600800004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2015/16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6108587</v>
      </c>
      <c r="C28" s="365">
        <f>'SC12'!G6</f>
        <v>8808585.2600800004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6439262</v>
      </c>
      <c r="C29" s="46">
        <f>'SC12'!G7</f>
        <v>17617170.520160001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15760781</v>
      </c>
      <c r="C30" s="46">
        <f>'SC12'!G8</f>
        <v>26425755.780239999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20424714</v>
      </c>
      <c r="C31" s="46">
        <f>'SC12'!G9</f>
        <v>35234341.040320002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30383869</v>
      </c>
      <c r="C32" s="46">
        <f>'SC12'!G10</f>
        <v>44042926.300400004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35145694</v>
      </c>
      <c r="C33" s="46">
        <f>'SC12'!G11</f>
        <v>52851511.560480006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>
        <f>'SC12'!F12</f>
        <v>40003745</v>
      </c>
      <c r="C34" s="46">
        <f>'SC12'!G12</f>
        <v>61660096.820560008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>
        <f>'SC12'!F13</f>
        <v>47652521</v>
      </c>
      <c r="C35" s="46">
        <f>'SC12'!G13</f>
        <v>70468682.080640003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>
        <f>'SC12'!F14</f>
        <v>47685459</v>
      </c>
      <c r="C36" s="46">
        <f>'SC12'!G14</f>
        <v>79277267.340719998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>
        <f>'SC12'!F15</f>
        <v>49734294</v>
      </c>
      <c r="C37" s="46">
        <f>'SC12'!G15</f>
        <v>88085852.600799993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 t="str">
        <f>'SC12'!F16</f>
        <v/>
      </c>
      <c r="C38" s="46">
        <f>'SC12'!G16</f>
        <v>96894437.860879987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105703023.12095998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2015/16</v>
      </c>
      <c r="B53" s="44">
        <f>'SC3'!C14</f>
        <v>0</v>
      </c>
      <c r="C53" s="44">
        <f>'SC3'!D14</f>
        <v>0</v>
      </c>
      <c r="D53" s="44">
        <f>'SC3'!E14</f>
        <v>0</v>
      </c>
      <c r="E53" s="44">
        <f>'SC3'!F14</f>
        <v>0</v>
      </c>
      <c r="F53" s="44">
        <f>'SC3'!G14</f>
        <v>0</v>
      </c>
      <c r="G53" s="44">
        <f>'SC3'!H14</f>
        <v>0</v>
      </c>
      <c r="H53" s="44">
        <f>'SC3'!I14</f>
        <v>0</v>
      </c>
      <c r="I53" s="44">
        <f>'SC3'!J14</f>
        <v>0</v>
      </c>
    </row>
    <row r="54" spans="1:9" x14ac:dyDescent="0.25">
      <c r="A54" s="62" t="str">
        <f>Head1</f>
        <v>2014/15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2014/15</v>
      </c>
      <c r="C77" s="62" t="str">
        <f>Head2</f>
        <v>Budget Year 2015/16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0</v>
      </c>
      <c r="C78" s="44">
        <f>'SC3'!K17</f>
        <v>0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0</v>
      </c>
      <c r="C79" s="44">
        <f>'SC3'!K18</f>
        <v>0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0</v>
      </c>
      <c r="C80" s="44">
        <f>'SC3'!K19</f>
        <v>0</v>
      </c>
    </row>
    <row r="81" spans="1:3" x14ac:dyDescent="0.25">
      <c r="A81" s="62" t="str">
        <f>'SC3'!A20</f>
        <v>Other</v>
      </c>
      <c r="B81" s="44">
        <f>C81*0.97</f>
        <v>0</v>
      </c>
      <c r="C81" s="44">
        <f>'SC3'!K20</f>
        <v>0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2014/15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2015/16</v>
      </c>
      <c r="B104" s="44">
        <f>'SC4'!K6</f>
        <v>3637659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0</v>
      </c>
      <c r="J104" s="44">
        <f>'SC4'!K14</f>
        <v>-227707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5" type="noConversion"/>
  <pageMargins left="0.75" right="0.75" top="1" bottom="1" header="0.5" footer="0.5"/>
  <pageSetup paperSize="9" scale="4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205</v>
      </c>
    </row>
    <row r="27" spans="1:3" x14ac:dyDescent="0.2">
      <c r="A27" s="1" t="s">
        <v>240</v>
      </c>
      <c r="B27" s="1" t="str">
        <f>INDEX(B28:B311,B26,1)</f>
        <v>NW385 Ramotshere Moiloa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4" t="s">
        <v>1242</v>
      </c>
      <c r="C29" s="915" t="s">
        <v>246</v>
      </c>
    </row>
    <row r="30" spans="1:3" ht="12.75" x14ac:dyDescent="0.2">
      <c r="B30" s="914" t="s">
        <v>1243</v>
      </c>
      <c r="C30" s="916" t="s">
        <v>246</v>
      </c>
    </row>
    <row r="31" spans="1:3" ht="12.75" x14ac:dyDescent="0.2">
      <c r="B31" s="914" t="s">
        <v>289</v>
      </c>
      <c r="C31" s="915" t="s">
        <v>246</v>
      </c>
    </row>
    <row r="32" spans="1:3" ht="12.75" x14ac:dyDescent="0.2">
      <c r="B32" s="914" t="s">
        <v>290</v>
      </c>
      <c r="C32" s="915" t="s">
        <v>246</v>
      </c>
    </row>
    <row r="33" spans="2:3" ht="12.75" x14ac:dyDescent="0.2">
      <c r="B33" s="914" t="s">
        <v>291</v>
      </c>
      <c r="C33" s="915" t="s">
        <v>246</v>
      </c>
    </row>
    <row r="34" spans="2:3" ht="12.75" x14ac:dyDescent="0.2">
      <c r="B34" s="914" t="s">
        <v>292</v>
      </c>
      <c r="C34" s="915" t="s">
        <v>246</v>
      </c>
    </row>
    <row r="35" spans="2:3" ht="12.75" x14ac:dyDescent="0.2">
      <c r="B35" s="914" t="s">
        <v>293</v>
      </c>
      <c r="C35" s="915" t="s">
        <v>246</v>
      </c>
    </row>
    <row r="36" spans="2:3" ht="12.75" x14ac:dyDescent="0.2">
      <c r="B36" s="914" t="s">
        <v>294</v>
      </c>
      <c r="C36" s="916" t="s">
        <v>246</v>
      </c>
    </row>
    <row r="37" spans="2:3" ht="12.75" x14ac:dyDescent="0.2">
      <c r="B37" s="914" t="s">
        <v>295</v>
      </c>
      <c r="C37" s="915" t="s">
        <v>246</v>
      </c>
    </row>
    <row r="38" spans="2:3" ht="12.75" x14ac:dyDescent="0.2">
      <c r="B38" s="914" t="s">
        <v>296</v>
      </c>
      <c r="C38" s="917" t="s">
        <v>246</v>
      </c>
    </row>
    <row r="39" spans="2:3" ht="12.75" x14ac:dyDescent="0.2">
      <c r="B39" s="914" t="s">
        <v>1145</v>
      </c>
      <c r="C39" s="917" t="s">
        <v>246</v>
      </c>
    </row>
    <row r="40" spans="2:3" ht="12.75" x14ac:dyDescent="0.2">
      <c r="B40" s="914" t="s">
        <v>245</v>
      </c>
      <c r="C40" s="918" t="s">
        <v>246</v>
      </c>
    </row>
    <row r="41" spans="2:3" ht="12.75" x14ac:dyDescent="0.2">
      <c r="B41" s="914" t="s">
        <v>297</v>
      </c>
      <c r="C41" s="918" t="s">
        <v>246</v>
      </c>
    </row>
    <row r="42" spans="2:3" ht="12.75" x14ac:dyDescent="0.2">
      <c r="B42" s="914" t="s">
        <v>298</v>
      </c>
      <c r="C42" s="918" t="s">
        <v>246</v>
      </c>
    </row>
    <row r="43" spans="2:3" ht="12.75" x14ac:dyDescent="0.2">
      <c r="B43" s="914" t="s">
        <v>299</v>
      </c>
      <c r="C43" s="918" t="s">
        <v>246</v>
      </c>
    </row>
    <row r="44" spans="2:3" ht="12.75" x14ac:dyDescent="0.2">
      <c r="B44" s="914" t="s">
        <v>300</v>
      </c>
      <c r="C44" s="918" t="s">
        <v>246</v>
      </c>
    </row>
    <row r="45" spans="2:3" ht="12.75" x14ac:dyDescent="0.2">
      <c r="B45" s="914" t="s">
        <v>301</v>
      </c>
      <c r="C45" s="918" t="s">
        <v>246</v>
      </c>
    </row>
    <row r="46" spans="2:3" ht="12.75" x14ac:dyDescent="0.2">
      <c r="B46" s="914" t="s">
        <v>302</v>
      </c>
      <c r="C46" s="918" t="s">
        <v>246</v>
      </c>
    </row>
    <row r="47" spans="2:3" ht="12.75" x14ac:dyDescent="0.2">
      <c r="B47" s="914" t="s">
        <v>303</v>
      </c>
      <c r="C47" s="918" t="s">
        <v>246</v>
      </c>
    </row>
    <row r="48" spans="2:3" ht="12.75" x14ac:dyDescent="0.2">
      <c r="B48" s="914" t="s">
        <v>247</v>
      </c>
      <c r="C48" s="918" t="s">
        <v>246</v>
      </c>
    </row>
    <row r="49" spans="2:3" ht="12.75" x14ac:dyDescent="0.2">
      <c r="B49" s="914" t="s">
        <v>304</v>
      </c>
      <c r="C49" s="918" t="s">
        <v>246</v>
      </c>
    </row>
    <row r="50" spans="2:3" ht="12.75" x14ac:dyDescent="0.2">
      <c r="B50" s="914" t="s">
        <v>305</v>
      </c>
      <c r="C50" s="917" t="s">
        <v>246</v>
      </c>
    </row>
    <row r="51" spans="2:3" ht="12.75" x14ac:dyDescent="0.2">
      <c r="B51" s="914" t="s">
        <v>306</v>
      </c>
      <c r="C51" s="917" t="s">
        <v>246</v>
      </c>
    </row>
    <row r="52" spans="2:3" ht="12.75" x14ac:dyDescent="0.2">
      <c r="B52" s="914" t="s">
        <v>307</v>
      </c>
      <c r="C52" s="917" t="s">
        <v>246</v>
      </c>
    </row>
    <row r="53" spans="2:3" ht="12.75" x14ac:dyDescent="0.2">
      <c r="B53" s="914" t="s">
        <v>308</v>
      </c>
      <c r="C53" s="917" t="s">
        <v>246</v>
      </c>
    </row>
    <row r="54" spans="2:3" ht="12.75" x14ac:dyDescent="0.2">
      <c r="B54" s="914" t="s">
        <v>309</v>
      </c>
      <c r="C54" s="917" t="s">
        <v>246</v>
      </c>
    </row>
    <row r="55" spans="2:3" ht="12.75" x14ac:dyDescent="0.2">
      <c r="B55" s="914" t="s">
        <v>310</v>
      </c>
      <c r="C55" s="917" t="s">
        <v>246</v>
      </c>
    </row>
    <row r="56" spans="2:3" ht="12.75" x14ac:dyDescent="0.2">
      <c r="B56" s="914" t="s">
        <v>311</v>
      </c>
      <c r="C56" s="917" t="s">
        <v>246</v>
      </c>
    </row>
    <row r="57" spans="2:3" ht="12.75" x14ac:dyDescent="0.2">
      <c r="B57" s="914" t="s">
        <v>248</v>
      </c>
      <c r="C57" s="656" t="s">
        <v>246</v>
      </c>
    </row>
    <row r="58" spans="2:3" ht="12.75" x14ac:dyDescent="0.2">
      <c r="B58" s="914" t="s">
        <v>312</v>
      </c>
      <c r="C58" s="656" t="s">
        <v>246</v>
      </c>
    </row>
    <row r="59" spans="2:3" ht="12.75" x14ac:dyDescent="0.2">
      <c r="B59" s="914" t="s">
        <v>313</v>
      </c>
      <c r="C59" s="917" t="s">
        <v>246</v>
      </c>
    </row>
    <row r="60" spans="2:3" ht="12.75" x14ac:dyDescent="0.2">
      <c r="B60" s="914" t="s">
        <v>314</v>
      </c>
      <c r="C60" s="917" t="s">
        <v>246</v>
      </c>
    </row>
    <row r="61" spans="2:3" ht="12.75" x14ac:dyDescent="0.2">
      <c r="B61" s="914" t="s">
        <v>315</v>
      </c>
      <c r="C61" s="917" t="s">
        <v>246</v>
      </c>
    </row>
    <row r="62" spans="2:3" ht="12.75" x14ac:dyDescent="0.2">
      <c r="B62" s="914" t="s">
        <v>1142</v>
      </c>
      <c r="C62" s="917" t="s">
        <v>246</v>
      </c>
    </row>
    <row r="63" spans="2:3" ht="12.75" x14ac:dyDescent="0.2">
      <c r="B63" s="914" t="s">
        <v>316</v>
      </c>
      <c r="C63" s="918" t="s">
        <v>246</v>
      </c>
    </row>
    <row r="64" spans="2:3" ht="12.75" x14ac:dyDescent="0.2">
      <c r="B64" s="914" t="s">
        <v>317</v>
      </c>
      <c r="C64" s="917" t="s">
        <v>246</v>
      </c>
    </row>
    <row r="65" spans="2:3" ht="12.75" x14ac:dyDescent="0.2">
      <c r="B65" s="914" t="s">
        <v>318</v>
      </c>
      <c r="C65" s="917" t="s">
        <v>246</v>
      </c>
    </row>
    <row r="66" spans="2:3" ht="12.75" x14ac:dyDescent="0.2">
      <c r="B66" s="914" t="s">
        <v>319</v>
      </c>
      <c r="C66" s="917" t="s">
        <v>246</v>
      </c>
    </row>
    <row r="67" spans="2:3" ht="12.75" x14ac:dyDescent="0.2">
      <c r="B67" s="914" t="s">
        <v>320</v>
      </c>
      <c r="C67" s="917" t="s">
        <v>246</v>
      </c>
    </row>
    <row r="68" spans="2:3" ht="12.75" x14ac:dyDescent="0.2">
      <c r="B68" s="914" t="s">
        <v>249</v>
      </c>
      <c r="C68" s="917" t="s">
        <v>246</v>
      </c>
    </row>
    <row r="69" spans="2:3" ht="12.75" x14ac:dyDescent="0.2">
      <c r="B69" s="914" t="s">
        <v>321</v>
      </c>
      <c r="C69" s="917" t="s">
        <v>246</v>
      </c>
    </row>
    <row r="70" spans="2:3" ht="12.75" x14ac:dyDescent="0.2">
      <c r="B70" s="914" t="s">
        <v>322</v>
      </c>
      <c r="C70" s="917" t="s">
        <v>246</v>
      </c>
    </row>
    <row r="71" spans="2:3" ht="12.75" x14ac:dyDescent="0.2">
      <c r="B71" s="914" t="s">
        <v>1235</v>
      </c>
      <c r="C71" s="917" t="s">
        <v>246</v>
      </c>
    </row>
    <row r="72" spans="2:3" ht="12.75" x14ac:dyDescent="0.2">
      <c r="B72" s="914" t="s">
        <v>1236</v>
      </c>
      <c r="C72" s="917" t="s">
        <v>246</v>
      </c>
    </row>
    <row r="73" spans="2:3" ht="12.75" x14ac:dyDescent="0.2">
      <c r="B73" s="914" t="s">
        <v>282</v>
      </c>
      <c r="C73" s="917" t="s">
        <v>246</v>
      </c>
    </row>
    <row r="74" spans="2:3" ht="12.75" x14ac:dyDescent="0.2">
      <c r="B74" s="914" t="s">
        <v>1244</v>
      </c>
      <c r="C74" s="917" t="s">
        <v>251</v>
      </c>
    </row>
    <row r="75" spans="2:3" ht="12.75" x14ac:dyDescent="0.2">
      <c r="B75" s="914" t="s">
        <v>323</v>
      </c>
      <c r="C75" s="917" t="s">
        <v>251</v>
      </c>
    </row>
    <row r="76" spans="2:3" ht="12.75" x14ac:dyDescent="0.2">
      <c r="B76" s="914" t="s">
        <v>324</v>
      </c>
      <c r="C76" s="917" t="s">
        <v>251</v>
      </c>
    </row>
    <row r="77" spans="2:3" ht="12.75" x14ac:dyDescent="0.2">
      <c r="B77" s="914" t="s">
        <v>325</v>
      </c>
      <c r="C77" s="917" t="s">
        <v>251</v>
      </c>
    </row>
    <row r="78" spans="2:3" ht="12.75" x14ac:dyDescent="0.2">
      <c r="B78" s="914" t="s">
        <v>1237</v>
      </c>
      <c r="C78" s="917" t="s">
        <v>251</v>
      </c>
    </row>
    <row r="79" spans="2:3" ht="12.75" x14ac:dyDescent="0.2">
      <c r="B79" s="914" t="s">
        <v>250</v>
      </c>
      <c r="C79" s="917" t="s">
        <v>251</v>
      </c>
    </row>
    <row r="80" spans="2:3" ht="12.75" x14ac:dyDescent="0.2">
      <c r="B80" s="914" t="s">
        <v>326</v>
      </c>
      <c r="C80" s="917" t="s">
        <v>251</v>
      </c>
    </row>
    <row r="81" spans="2:3" ht="12.75" x14ac:dyDescent="0.2">
      <c r="B81" s="914" t="s">
        <v>327</v>
      </c>
      <c r="C81" s="917" t="s">
        <v>251</v>
      </c>
    </row>
    <row r="82" spans="2:3" ht="12.75" x14ac:dyDescent="0.2">
      <c r="B82" s="914" t="s">
        <v>328</v>
      </c>
      <c r="C82" s="917" t="s">
        <v>251</v>
      </c>
    </row>
    <row r="83" spans="2:3" ht="12.75" x14ac:dyDescent="0.2">
      <c r="B83" s="914" t="s">
        <v>329</v>
      </c>
      <c r="C83" s="917" t="s">
        <v>251</v>
      </c>
    </row>
    <row r="84" spans="2:3" ht="12.75" x14ac:dyDescent="0.2">
      <c r="B84" s="914" t="s">
        <v>330</v>
      </c>
      <c r="C84" s="917" t="s">
        <v>251</v>
      </c>
    </row>
    <row r="85" spans="2:3" ht="12.75" x14ac:dyDescent="0.2">
      <c r="B85" s="914" t="s">
        <v>252</v>
      </c>
      <c r="C85" s="917" t="s">
        <v>251</v>
      </c>
    </row>
    <row r="86" spans="2:3" ht="12.75" x14ac:dyDescent="0.2">
      <c r="B86" s="914" t="s">
        <v>331</v>
      </c>
      <c r="C86" s="917" t="s">
        <v>251</v>
      </c>
    </row>
    <row r="87" spans="2:3" ht="12.75" x14ac:dyDescent="0.2">
      <c r="B87" s="914" t="s">
        <v>332</v>
      </c>
      <c r="C87" s="917" t="s">
        <v>251</v>
      </c>
    </row>
    <row r="88" spans="2:3" ht="12.75" x14ac:dyDescent="0.2">
      <c r="B88" s="914" t="s">
        <v>333</v>
      </c>
      <c r="C88" s="917" t="s">
        <v>251</v>
      </c>
    </row>
    <row r="89" spans="2:3" ht="12.75" x14ac:dyDescent="0.2">
      <c r="B89" s="914" t="s">
        <v>334</v>
      </c>
      <c r="C89" s="917" t="s">
        <v>251</v>
      </c>
    </row>
    <row r="90" spans="2:3" ht="12.75" x14ac:dyDescent="0.2">
      <c r="B90" s="914" t="s">
        <v>335</v>
      </c>
      <c r="C90" s="917" t="s">
        <v>251</v>
      </c>
    </row>
    <row r="91" spans="2:3" ht="12.75" x14ac:dyDescent="0.2">
      <c r="B91" s="914" t="s">
        <v>1238</v>
      </c>
      <c r="C91" s="917" t="s">
        <v>251</v>
      </c>
    </row>
    <row r="92" spans="2:3" ht="12.75" x14ac:dyDescent="0.2">
      <c r="B92" s="914" t="s">
        <v>253</v>
      </c>
      <c r="C92" s="917" t="s">
        <v>251</v>
      </c>
    </row>
    <row r="93" spans="2:3" ht="12.75" x14ac:dyDescent="0.2">
      <c r="B93" s="914" t="s">
        <v>336</v>
      </c>
      <c r="C93" s="917" t="s">
        <v>251</v>
      </c>
    </row>
    <row r="94" spans="2:3" ht="12.75" x14ac:dyDescent="0.2">
      <c r="B94" s="914" t="s">
        <v>337</v>
      </c>
      <c r="C94" s="917" t="s">
        <v>251</v>
      </c>
    </row>
    <row r="95" spans="2:3" ht="12.75" x14ac:dyDescent="0.2">
      <c r="B95" s="914" t="s">
        <v>338</v>
      </c>
      <c r="C95" s="917" t="s">
        <v>251</v>
      </c>
    </row>
    <row r="96" spans="2:3" ht="12.75" x14ac:dyDescent="0.2">
      <c r="B96" s="914" t="s">
        <v>339</v>
      </c>
      <c r="C96" s="917" t="s">
        <v>251</v>
      </c>
    </row>
    <row r="97" spans="2:3" ht="12.75" x14ac:dyDescent="0.2">
      <c r="B97" s="914" t="s">
        <v>254</v>
      </c>
      <c r="C97" s="917" t="s">
        <v>251</v>
      </c>
    </row>
    <row r="98" spans="2:3" ht="12.75" x14ac:dyDescent="0.2">
      <c r="B98" s="914" t="s">
        <v>1245</v>
      </c>
      <c r="C98" s="917" t="s">
        <v>280</v>
      </c>
    </row>
    <row r="99" spans="2:3" ht="12.75" x14ac:dyDescent="0.2">
      <c r="B99" s="914" t="s">
        <v>1246</v>
      </c>
      <c r="C99" s="917" t="s">
        <v>280</v>
      </c>
    </row>
    <row r="100" spans="2:3" ht="12.75" x14ac:dyDescent="0.2">
      <c r="B100" s="914" t="s">
        <v>1247</v>
      </c>
      <c r="C100" s="917" t="s">
        <v>280</v>
      </c>
    </row>
    <row r="101" spans="2:3" ht="12.75" x14ac:dyDescent="0.2">
      <c r="B101" s="914" t="s">
        <v>340</v>
      </c>
      <c r="C101" s="917" t="s">
        <v>280</v>
      </c>
    </row>
    <row r="102" spans="2:3" ht="12.75" x14ac:dyDescent="0.2">
      <c r="B102" s="914" t="s">
        <v>341</v>
      </c>
      <c r="C102" s="917" t="s">
        <v>280</v>
      </c>
    </row>
    <row r="103" spans="2:3" ht="12.75" x14ac:dyDescent="0.2">
      <c r="B103" s="914" t="s">
        <v>342</v>
      </c>
      <c r="C103" s="917" t="s">
        <v>280</v>
      </c>
    </row>
    <row r="104" spans="2:3" ht="12.75" x14ac:dyDescent="0.2">
      <c r="B104" s="914" t="s">
        <v>279</v>
      </c>
      <c r="C104" s="917" t="s">
        <v>280</v>
      </c>
    </row>
    <row r="105" spans="2:3" ht="12.75" x14ac:dyDescent="0.2">
      <c r="B105" s="914" t="s">
        <v>343</v>
      </c>
      <c r="C105" s="917" t="s">
        <v>280</v>
      </c>
    </row>
    <row r="106" spans="2:3" ht="12.75" x14ac:dyDescent="0.2">
      <c r="B106" s="914" t="s">
        <v>344</v>
      </c>
      <c r="C106" s="917" t="s">
        <v>280</v>
      </c>
    </row>
    <row r="107" spans="2:3" ht="12.75" x14ac:dyDescent="0.2">
      <c r="B107" s="914" t="s">
        <v>345</v>
      </c>
      <c r="C107" s="917" t="s">
        <v>280</v>
      </c>
    </row>
    <row r="108" spans="2:3" ht="12.75" x14ac:dyDescent="0.2">
      <c r="B108" s="914" t="s">
        <v>1146</v>
      </c>
      <c r="C108" s="917" t="s">
        <v>280</v>
      </c>
    </row>
    <row r="109" spans="2:3" ht="12.75" x14ac:dyDescent="0.2">
      <c r="B109" s="914" t="s">
        <v>284</v>
      </c>
      <c r="C109" s="917" t="s">
        <v>280</v>
      </c>
    </row>
    <row r="110" spans="2:3" ht="12.75" x14ac:dyDescent="0.2">
      <c r="B110" s="914" t="s">
        <v>1248</v>
      </c>
      <c r="C110" s="917" t="s">
        <v>1143</v>
      </c>
    </row>
    <row r="111" spans="2:3" ht="12.75" x14ac:dyDescent="0.2">
      <c r="B111" s="914" t="s">
        <v>346</v>
      </c>
      <c r="C111" s="917" t="s">
        <v>1143</v>
      </c>
    </row>
    <row r="112" spans="2:3" ht="12.75" x14ac:dyDescent="0.2">
      <c r="B112" s="914" t="s">
        <v>347</v>
      </c>
      <c r="C112" s="915" t="s">
        <v>1143</v>
      </c>
    </row>
    <row r="113" spans="2:3" ht="12.75" x14ac:dyDescent="0.2">
      <c r="B113" s="914" t="s">
        <v>348</v>
      </c>
      <c r="C113" s="915" t="s">
        <v>1143</v>
      </c>
    </row>
    <row r="114" spans="2:3" ht="12.75" x14ac:dyDescent="0.2">
      <c r="B114" s="914" t="s">
        <v>349</v>
      </c>
      <c r="C114" s="915" t="s">
        <v>1143</v>
      </c>
    </row>
    <row r="115" spans="2:3" ht="12.75" x14ac:dyDescent="0.2">
      <c r="B115" s="914" t="s">
        <v>1147</v>
      </c>
      <c r="C115" s="915" t="s">
        <v>1143</v>
      </c>
    </row>
    <row r="116" spans="2:3" ht="12.75" x14ac:dyDescent="0.2">
      <c r="B116" s="914" t="s">
        <v>350</v>
      </c>
      <c r="C116" s="915" t="s">
        <v>1143</v>
      </c>
    </row>
    <row r="117" spans="2:3" ht="12.75" x14ac:dyDescent="0.2">
      <c r="B117" s="914" t="s">
        <v>255</v>
      </c>
      <c r="C117" s="915" t="s">
        <v>1143</v>
      </c>
    </row>
    <row r="118" spans="2:3" ht="12.75" x14ac:dyDescent="0.2">
      <c r="B118" s="914" t="s">
        <v>351</v>
      </c>
      <c r="C118" s="915" t="s">
        <v>1143</v>
      </c>
    </row>
    <row r="119" spans="2:3" ht="12.75" x14ac:dyDescent="0.2">
      <c r="B119" s="914" t="s">
        <v>352</v>
      </c>
      <c r="C119" s="915" t="s">
        <v>1143</v>
      </c>
    </row>
    <row r="120" spans="2:3" ht="12.75" x14ac:dyDescent="0.2">
      <c r="B120" s="914" t="s">
        <v>353</v>
      </c>
      <c r="C120" s="915" t="s">
        <v>1143</v>
      </c>
    </row>
    <row r="121" spans="2:3" ht="12.75" x14ac:dyDescent="0.2">
      <c r="B121" s="914" t="s">
        <v>354</v>
      </c>
      <c r="C121" s="915" t="s">
        <v>1143</v>
      </c>
    </row>
    <row r="122" spans="2:3" ht="12.75" x14ac:dyDescent="0.2">
      <c r="B122" s="914" t="s">
        <v>355</v>
      </c>
      <c r="C122" s="915" t="s">
        <v>1143</v>
      </c>
    </row>
    <row r="123" spans="2:3" ht="12.75" x14ac:dyDescent="0.2">
      <c r="B123" s="914" t="s">
        <v>356</v>
      </c>
      <c r="C123" s="915" t="s">
        <v>1143</v>
      </c>
    </row>
    <row r="124" spans="2:3" ht="12.75" x14ac:dyDescent="0.2">
      <c r="B124" s="914" t="s">
        <v>357</v>
      </c>
      <c r="C124" s="915" t="s">
        <v>1143</v>
      </c>
    </row>
    <row r="125" spans="2:3" ht="12.75" x14ac:dyDescent="0.2">
      <c r="B125" s="914" t="s">
        <v>256</v>
      </c>
      <c r="C125" s="915" t="s">
        <v>1143</v>
      </c>
    </row>
    <row r="126" spans="2:3" ht="12.75" x14ac:dyDescent="0.2">
      <c r="B126" s="914" t="s">
        <v>358</v>
      </c>
      <c r="C126" s="915" t="s">
        <v>1143</v>
      </c>
    </row>
    <row r="127" spans="2:3" ht="12.75" x14ac:dyDescent="0.2">
      <c r="B127" s="914" t="s">
        <v>359</v>
      </c>
      <c r="C127" s="915" t="s">
        <v>1143</v>
      </c>
    </row>
    <row r="128" spans="2:3" ht="12.75" x14ac:dyDescent="0.2">
      <c r="B128" s="914" t="s">
        <v>360</v>
      </c>
      <c r="C128" s="915" t="s">
        <v>1143</v>
      </c>
    </row>
    <row r="129" spans="2:3" ht="12.75" x14ac:dyDescent="0.2">
      <c r="B129" s="914" t="s">
        <v>361</v>
      </c>
      <c r="C129" s="915" t="s">
        <v>1143</v>
      </c>
    </row>
    <row r="130" spans="2:3" ht="12.75" x14ac:dyDescent="0.2">
      <c r="B130" s="914" t="s">
        <v>362</v>
      </c>
      <c r="C130" s="915" t="s">
        <v>1143</v>
      </c>
    </row>
    <row r="131" spans="2:3" ht="12.75" x14ac:dyDescent="0.2">
      <c r="B131" s="914" t="s">
        <v>257</v>
      </c>
      <c r="C131" s="915" t="s">
        <v>1143</v>
      </c>
    </row>
    <row r="132" spans="2:3" ht="12.75" x14ac:dyDescent="0.2">
      <c r="B132" s="914" t="s">
        <v>363</v>
      </c>
      <c r="C132" s="917" t="s">
        <v>1143</v>
      </c>
    </row>
    <row r="133" spans="2:3" ht="12.75" x14ac:dyDescent="0.2">
      <c r="B133" s="914" t="s">
        <v>364</v>
      </c>
      <c r="C133" s="917" t="s">
        <v>1143</v>
      </c>
    </row>
    <row r="134" spans="2:3" ht="12.75" x14ac:dyDescent="0.2">
      <c r="B134" s="914" t="s">
        <v>365</v>
      </c>
      <c r="C134" s="917" t="s">
        <v>1143</v>
      </c>
    </row>
    <row r="135" spans="2:3" ht="12.75" x14ac:dyDescent="0.2">
      <c r="B135" s="914" t="s">
        <v>367</v>
      </c>
      <c r="C135" s="917" t="s">
        <v>1143</v>
      </c>
    </row>
    <row r="136" spans="2:3" ht="12.75" x14ac:dyDescent="0.2">
      <c r="B136" s="914" t="s">
        <v>258</v>
      </c>
      <c r="C136" s="917" t="s">
        <v>1143</v>
      </c>
    </row>
    <row r="137" spans="2:3" ht="12.75" x14ac:dyDescent="0.2">
      <c r="B137" s="914" t="s">
        <v>368</v>
      </c>
      <c r="C137" s="917" t="s">
        <v>1143</v>
      </c>
    </row>
    <row r="138" spans="2:3" ht="12.75" x14ac:dyDescent="0.2">
      <c r="B138" s="914" t="s">
        <v>369</v>
      </c>
      <c r="C138" s="917" t="s">
        <v>1143</v>
      </c>
    </row>
    <row r="139" spans="2:3" ht="12.75" x14ac:dyDescent="0.2">
      <c r="B139" s="914" t="s">
        <v>370</v>
      </c>
      <c r="C139" s="917" t="s">
        <v>1143</v>
      </c>
    </row>
    <row r="140" spans="2:3" ht="12.75" x14ac:dyDescent="0.2">
      <c r="B140" s="914" t="s">
        <v>259</v>
      </c>
      <c r="C140" s="917" t="s">
        <v>1143</v>
      </c>
    </row>
    <row r="141" spans="2:3" ht="12.75" x14ac:dyDescent="0.2">
      <c r="B141" s="914" t="s">
        <v>371</v>
      </c>
      <c r="C141" s="917" t="s">
        <v>1143</v>
      </c>
    </row>
    <row r="142" spans="2:3" ht="12.75" x14ac:dyDescent="0.2">
      <c r="B142" s="914" t="s">
        <v>372</v>
      </c>
      <c r="C142" s="918" t="s">
        <v>1143</v>
      </c>
    </row>
    <row r="143" spans="2:3" ht="12.75" x14ac:dyDescent="0.2">
      <c r="B143" s="914" t="s">
        <v>373</v>
      </c>
      <c r="C143" s="918" t="s">
        <v>1143</v>
      </c>
    </row>
    <row r="144" spans="2:3" ht="12.75" x14ac:dyDescent="0.2">
      <c r="B144" s="914" t="s">
        <v>374</v>
      </c>
      <c r="C144" s="918" t="s">
        <v>1143</v>
      </c>
    </row>
    <row r="145" spans="2:3" ht="12.75" x14ac:dyDescent="0.2">
      <c r="B145" s="914" t="s">
        <v>375</v>
      </c>
      <c r="C145" s="918" t="s">
        <v>1143</v>
      </c>
    </row>
    <row r="146" spans="2:3" ht="12.75" x14ac:dyDescent="0.2">
      <c r="B146" s="914" t="s">
        <v>260</v>
      </c>
      <c r="C146" s="918" t="s">
        <v>1143</v>
      </c>
    </row>
    <row r="147" spans="2:3" ht="12.75" x14ac:dyDescent="0.2">
      <c r="B147" s="914" t="s">
        <v>376</v>
      </c>
      <c r="C147" s="918" t="s">
        <v>1143</v>
      </c>
    </row>
    <row r="148" spans="2:3" ht="12.75" x14ac:dyDescent="0.2">
      <c r="B148" s="914" t="s">
        <v>377</v>
      </c>
      <c r="C148" s="918" t="s">
        <v>1143</v>
      </c>
    </row>
    <row r="149" spans="2:3" ht="12.75" x14ac:dyDescent="0.2">
      <c r="B149" s="914" t="s">
        <v>1148</v>
      </c>
      <c r="C149" s="918" t="s">
        <v>1143</v>
      </c>
    </row>
    <row r="150" spans="2:3" ht="12.75" x14ac:dyDescent="0.2">
      <c r="B150" s="914" t="s">
        <v>378</v>
      </c>
      <c r="C150" s="918" t="s">
        <v>1143</v>
      </c>
    </row>
    <row r="151" spans="2:3" ht="12.75" x14ac:dyDescent="0.2">
      <c r="B151" s="914" t="s">
        <v>379</v>
      </c>
      <c r="C151" s="918" t="s">
        <v>1143</v>
      </c>
    </row>
    <row r="152" spans="2:3" ht="12.75" x14ac:dyDescent="0.2">
      <c r="B152" s="914" t="s">
        <v>261</v>
      </c>
      <c r="C152" s="918" t="s">
        <v>1143</v>
      </c>
    </row>
    <row r="153" spans="2:3" ht="12.75" x14ac:dyDescent="0.2">
      <c r="B153" s="914" t="s">
        <v>1149</v>
      </c>
      <c r="C153" s="918" t="s">
        <v>1143</v>
      </c>
    </row>
    <row r="154" spans="2:3" ht="12.75" x14ac:dyDescent="0.2">
      <c r="B154" s="914" t="s">
        <v>380</v>
      </c>
      <c r="C154" s="918" t="s">
        <v>1143</v>
      </c>
    </row>
    <row r="155" spans="2:3" ht="12.75" x14ac:dyDescent="0.2">
      <c r="B155" s="914" t="s">
        <v>381</v>
      </c>
      <c r="C155" s="918" t="s">
        <v>1143</v>
      </c>
    </row>
    <row r="156" spans="2:3" ht="12.75" x14ac:dyDescent="0.2">
      <c r="B156" s="914" t="s">
        <v>1150</v>
      </c>
      <c r="C156" s="918" t="s">
        <v>1143</v>
      </c>
    </row>
    <row r="157" spans="2:3" ht="12.75" x14ac:dyDescent="0.2">
      <c r="B157" s="914" t="s">
        <v>382</v>
      </c>
      <c r="C157" s="918" t="s">
        <v>1143</v>
      </c>
    </row>
    <row r="158" spans="2:3" ht="12.75" x14ac:dyDescent="0.2">
      <c r="B158" s="914" t="s">
        <v>383</v>
      </c>
      <c r="C158" s="918" t="s">
        <v>1143</v>
      </c>
    </row>
    <row r="159" spans="2:3" ht="12.75" x14ac:dyDescent="0.2">
      <c r="B159" s="914" t="s">
        <v>262</v>
      </c>
      <c r="C159" s="918" t="s">
        <v>1143</v>
      </c>
    </row>
    <row r="160" spans="2:3" ht="12.75" x14ac:dyDescent="0.2">
      <c r="B160" s="914" t="s">
        <v>384</v>
      </c>
      <c r="C160" s="918" t="s">
        <v>1143</v>
      </c>
    </row>
    <row r="161" spans="2:3" ht="12.75" x14ac:dyDescent="0.2">
      <c r="B161" s="914" t="s">
        <v>385</v>
      </c>
      <c r="C161" s="918" t="s">
        <v>1143</v>
      </c>
    </row>
    <row r="162" spans="2:3" ht="12.75" x14ac:dyDescent="0.2">
      <c r="B162" s="914" t="s">
        <v>386</v>
      </c>
      <c r="C162" s="918" t="s">
        <v>1143</v>
      </c>
    </row>
    <row r="163" spans="2:3" ht="12.75" x14ac:dyDescent="0.2">
      <c r="B163" s="914" t="s">
        <v>387</v>
      </c>
      <c r="C163" s="918" t="s">
        <v>1143</v>
      </c>
    </row>
    <row r="164" spans="2:3" ht="12.75" x14ac:dyDescent="0.2">
      <c r="B164" s="914" t="s">
        <v>263</v>
      </c>
      <c r="C164" s="918" t="s">
        <v>1143</v>
      </c>
    </row>
    <row r="165" spans="2:3" ht="12.75" x14ac:dyDescent="0.2">
      <c r="B165" s="914" t="s">
        <v>388</v>
      </c>
      <c r="C165" s="918" t="s">
        <v>1143</v>
      </c>
    </row>
    <row r="166" spans="2:3" ht="12.75" x14ac:dyDescent="0.2">
      <c r="B166" s="914" t="s">
        <v>389</v>
      </c>
      <c r="C166" s="918" t="s">
        <v>1143</v>
      </c>
    </row>
    <row r="167" spans="2:3" ht="12.75" x14ac:dyDescent="0.2">
      <c r="B167" s="914" t="s">
        <v>390</v>
      </c>
      <c r="C167" s="918" t="s">
        <v>1143</v>
      </c>
    </row>
    <row r="168" spans="2:3" ht="12.75" x14ac:dyDescent="0.2">
      <c r="B168" s="914" t="s">
        <v>391</v>
      </c>
      <c r="C168" s="918" t="s">
        <v>1143</v>
      </c>
    </row>
    <row r="169" spans="2:3" ht="12.75" x14ac:dyDescent="0.2">
      <c r="B169" s="914" t="s">
        <v>392</v>
      </c>
      <c r="C169" s="918" t="s">
        <v>1143</v>
      </c>
    </row>
    <row r="170" spans="2:3" ht="12.75" x14ac:dyDescent="0.2">
      <c r="B170" s="914" t="s">
        <v>281</v>
      </c>
      <c r="C170" s="918" t="s">
        <v>1143</v>
      </c>
    </row>
    <row r="171" spans="2:3" ht="12.75" x14ac:dyDescent="0.2">
      <c r="B171" s="914" t="s">
        <v>393</v>
      </c>
      <c r="C171" s="918" t="s">
        <v>1249</v>
      </c>
    </row>
    <row r="172" spans="2:3" ht="12.75" x14ac:dyDescent="0.2">
      <c r="B172" s="914" t="s">
        <v>394</v>
      </c>
      <c r="C172" s="918" t="s">
        <v>1249</v>
      </c>
    </row>
    <row r="173" spans="2:3" ht="12.75" x14ac:dyDescent="0.2">
      <c r="B173" s="914" t="s">
        <v>395</v>
      </c>
      <c r="C173" s="918" t="s">
        <v>1249</v>
      </c>
    </row>
    <row r="174" spans="2:3" ht="12.75" x14ac:dyDescent="0.2">
      <c r="B174" s="914" t="s">
        <v>396</v>
      </c>
      <c r="C174" s="918" t="s">
        <v>1249</v>
      </c>
    </row>
    <row r="175" spans="2:3" ht="12.75" x14ac:dyDescent="0.2">
      <c r="B175" s="914" t="s">
        <v>397</v>
      </c>
      <c r="C175" s="918" t="s">
        <v>1249</v>
      </c>
    </row>
    <row r="176" spans="2:3" ht="12.75" x14ac:dyDescent="0.2">
      <c r="B176" s="914" t="s">
        <v>269</v>
      </c>
      <c r="C176" s="918" t="s">
        <v>1249</v>
      </c>
    </row>
    <row r="177" spans="2:3" ht="12.75" x14ac:dyDescent="0.2">
      <c r="B177" s="914" t="s">
        <v>398</v>
      </c>
      <c r="C177" s="918" t="s">
        <v>1249</v>
      </c>
    </row>
    <row r="178" spans="2:3" ht="12.75" x14ac:dyDescent="0.2">
      <c r="B178" s="914" t="s">
        <v>399</v>
      </c>
      <c r="C178" s="918" t="s">
        <v>1249</v>
      </c>
    </row>
    <row r="179" spans="2:3" ht="12.75" x14ac:dyDescent="0.2">
      <c r="B179" s="914" t="s">
        <v>400</v>
      </c>
      <c r="C179" s="918" t="s">
        <v>1249</v>
      </c>
    </row>
    <row r="180" spans="2:3" ht="12.75" x14ac:dyDescent="0.2">
      <c r="B180" s="914" t="s">
        <v>401</v>
      </c>
      <c r="C180" s="918" t="s">
        <v>1249</v>
      </c>
    </row>
    <row r="181" spans="2:3" ht="12.75" x14ac:dyDescent="0.2">
      <c r="B181" s="914" t="s">
        <v>270</v>
      </c>
      <c r="C181" s="918" t="s">
        <v>1249</v>
      </c>
    </row>
    <row r="182" spans="2:3" ht="12.75" x14ac:dyDescent="0.2">
      <c r="B182" s="914" t="s">
        <v>402</v>
      </c>
      <c r="C182" s="918" t="s">
        <v>1249</v>
      </c>
    </row>
    <row r="183" spans="2:3" ht="12.75" x14ac:dyDescent="0.2">
      <c r="B183" s="914" t="s">
        <v>403</v>
      </c>
      <c r="C183" s="918" t="s">
        <v>1249</v>
      </c>
    </row>
    <row r="184" spans="2:3" ht="12.75" x14ac:dyDescent="0.2">
      <c r="B184" s="914" t="s">
        <v>404</v>
      </c>
      <c r="C184" s="918" t="s">
        <v>1249</v>
      </c>
    </row>
    <row r="185" spans="2:3" ht="12.75" x14ac:dyDescent="0.2">
      <c r="B185" s="914" t="s">
        <v>405</v>
      </c>
      <c r="C185" s="918" t="s">
        <v>1249</v>
      </c>
    </row>
    <row r="186" spans="2:3" ht="12.75" x14ac:dyDescent="0.2">
      <c r="B186" s="914" t="s">
        <v>406</v>
      </c>
      <c r="C186" s="918" t="s">
        <v>1249</v>
      </c>
    </row>
    <row r="187" spans="2:3" ht="12.75" x14ac:dyDescent="0.2">
      <c r="B187" s="914" t="s">
        <v>271</v>
      </c>
      <c r="C187" s="918" t="s">
        <v>1249</v>
      </c>
    </row>
    <row r="188" spans="2:3" ht="12.75" x14ac:dyDescent="0.2">
      <c r="B188" s="914" t="s">
        <v>407</v>
      </c>
      <c r="C188" s="918" t="s">
        <v>1249</v>
      </c>
    </row>
    <row r="189" spans="2:3" ht="12.75" x14ac:dyDescent="0.2">
      <c r="B189" s="914" t="s">
        <v>408</v>
      </c>
      <c r="C189" s="918" t="s">
        <v>1249</v>
      </c>
    </row>
    <row r="190" spans="2:3" ht="12.75" x14ac:dyDescent="0.2">
      <c r="B190" s="914" t="s">
        <v>409</v>
      </c>
      <c r="C190" s="918" t="s">
        <v>1249</v>
      </c>
    </row>
    <row r="191" spans="2:3" ht="12.75" x14ac:dyDescent="0.2">
      <c r="B191" s="914" t="s">
        <v>410</v>
      </c>
      <c r="C191" s="918" t="s">
        <v>1249</v>
      </c>
    </row>
    <row r="192" spans="2:3" ht="12.75" x14ac:dyDescent="0.2">
      <c r="B192" s="914" t="s">
        <v>411</v>
      </c>
      <c r="C192" s="918" t="s">
        <v>1249</v>
      </c>
    </row>
    <row r="193" spans="2:3" ht="12.75" x14ac:dyDescent="0.2">
      <c r="B193" s="914" t="s">
        <v>412</v>
      </c>
      <c r="C193" s="917" t="s">
        <v>1249</v>
      </c>
    </row>
    <row r="194" spans="2:3" ht="12.75" x14ac:dyDescent="0.2">
      <c r="B194" s="914" t="s">
        <v>272</v>
      </c>
      <c r="C194" s="917" t="s">
        <v>1249</v>
      </c>
    </row>
    <row r="195" spans="2:3" ht="12.75" x14ac:dyDescent="0.2">
      <c r="B195" s="914" t="s">
        <v>1151</v>
      </c>
      <c r="C195" s="917" t="s">
        <v>1249</v>
      </c>
    </row>
    <row r="196" spans="2:3" ht="12.75" x14ac:dyDescent="0.2">
      <c r="B196" s="914" t="s">
        <v>413</v>
      </c>
      <c r="C196" s="917" t="s">
        <v>1249</v>
      </c>
    </row>
    <row r="197" spans="2:3" ht="12.75" x14ac:dyDescent="0.2">
      <c r="B197" s="914" t="s">
        <v>1152</v>
      </c>
      <c r="C197" s="917" t="s">
        <v>1249</v>
      </c>
    </row>
    <row r="198" spans="2:3" ht="12.75" x14ac:dyDescent="0.2">
      <c r="B198" s="914" t="s">
        <v>414</v>
      </c>
      <c r="C198" s="917" t="s">
        <v>1249</v>
      </c>
    </row>
    <row r="199" spans="2:3" ht="12.75" x14ac:dyDescent="0.2">
      <c r="B199" s="914" t="s">
        <v>415</v>
      </c>
      <c r="C199" s="917" t="s">
        <v>1249</v>
      </c>
    </row>
    <row r="200" spans="2:3" ht="12.75" x14ac:dyDescent="0.2">
      <c r="B200" s="914" t="s">
        <v>1233</v>
      </c>
      <c r="C200" s="917" t="s">
        <v>1249</v>
      </c>
    </row>
    <row r="201" spans="2:3" ht="12.75" x14ac:dyDescent="0.2">
      <c r="B201" s="914" t="s">
        <v>416</v>
      </c>
      <c r="C201" s="917" t="s">
        <v>266</v>
      </c>
    </row>
    <row r="202" spans="2:3" ht="12.75" x14ac:dyDescent="0.2">
      <c r="B202" s="914" t="s">
        <v>417</v>
      </c>
      <c r="C202" s="917" t="s">
        <v>266</v>
      </c>
    </row>
    <row r="203" spans="2:3" ht="12.75" x14ac:dyDescent="0.2">
      <c r="B203" s="914" t="s">
        <v>418</v>
      </c>
      <c r="C203" s="917" t="s">
        <v>266</v>
      </c>
    </row>
    <row r="204" spans="2:3" ht="12.75" x14ac:dyDescent="0.2">
      <c r="B204" s="914" t="s">
        <v>1153</v>
      </c>
      <c r="C204" s="917" t="s">
        <v>266</v>
      </c>
    </row>
    <row r="205" spans="2:3" ht="12.75" x14ac:dyDescent="0.2">
      <c r="B205" s="914" t="s">
        <v>419</v>
      </c>
      <c r="C205" s="917" t="s">
        <v>266</v>
      </c>
    </row>
    <row r="206" spans="2:3" ht="12.75" x14ac:dyDescent="0.2">
      <c r="B206" s="914" t="s">
        <v>420</v>
      </c>
      <c r="C206" s="917" t="s">
        <v>266</v>
      </c>
    </row>
    <row r="207" spans="2:3" ht="12.75" x14ac:dyDescent="0.2">
      <c r="B207" s="914" t="s">
        <v>421</v>
      </c>
      <c r="C207" s="917" t="s">
        <v>266</v>
      </c>
    </row>
    <row r="208" spans="2:3" ht="12.75" x14ac:dyDescent="0.2">
      <c r="B208" s="914" t="s">
        <v>265</v>
      </c>
      <c r="C208" s="917" t="s">
        <v>266</v>
      </c>
    </row>
    <row r="209" spans="2:3" ht="12.75" x14ac:dyDescent="0.2">
      <c r="B209" s="914" t="s">
        <v>1154</v>
      </c>
      <c r="C209" s="917" t="s">
        <v>266</v>
      </c>
    </row>
    <row r="210" spans="2:3" ht="12.75" x14ac:dyDescent="0.2">
      <c r="B210" s="914" t="s">
        <v>1239</v>
      </c>
      <c r="C210" s="917" t="s">
        <v>266</v>
      </c>
    </row>
    <row r="211" spans="2:3" ht="12.75" x14ac:dyDescent="0.2">
      <c r="B211" s="914" t="s">
        <v>422</v>
      </c>
      <c r="C211" s="917" t="s">
        <v>266</v>
      </c>
    </row>
    <row r="212" spans="2:3" ht="12.75" x14ac:dyDescent="0.2">
      <c r="B212" s="914" t="s">
        <v>423</v>
      </c>
      <c r="C212" s="917" t="s">
        <v>266</v>
      </c>
    </row>
    <row r="213" spans="2:3" ht="12.75" x14ac:dyDescent="0.2">
      <c r="B213" s="914" t="s">
        <v>1240</v>
      </c>
      <c r="C213" s="917" t="s">
        <v>266</v>
      </c>
    </row>
    <row r="214" spans="2:3" ht="12.75" x14ac:dyDescent="0.2">
      <c r="B214" s="914" t="s">
        <v>424</v>
      </c>
      <c r="C214" s="917" t="s">
        <v>266</v>
      </c>
    </row>
    <row r="215" spans="2:3" ht="12.75" x14ac:dyDescent="0.2">
      <c r="B215" s="914" t="s">
        <v>267</v>
      </c>
      <c r="C215" s="917" t="s">
        <v>266</v>
      </c>
    </row>
    <row r="216" spans="2:3" ht="12.75" x14ac:dyDescent="0.2">
      <c r="B216" s="914" t="s">
        <v>425</v>
      </c>
      <c r="C216" s="917" t="s">
        <v>266</v>
      </c>
    </row>
    <row r="217" spans="2:3" ht="12.75" x14ac:dyDescent="0.2">
      <c r="B217" s="914" t="s">
        <v>426</v>
      </c>
      <c r="C217" s="917" t="s">
        <v>266</v>
      </c>
    </row>
    <row r="218" spans="2:3" ht="12.75" x14ac:dyDescent="0.2">
      <c r="B218" s="914" t="s">
        <v>427</v>
      </c>
      <c r="C218" s="917" t="s">
        <v>266</v>
      </c>
    </row>
    <row r="219" spans="2:3" ht="12.75" x14ac:dyDescent="0.2">
      <c r="B219" s="914" t="s">
        <v>428</v>
      </c>
      <c r="C219" s="917" t="s">
        <v>266</v>
      </c>
    </row>
    <row r="220" spans="2:3" ht="12.75" x14ac:dyDescent="0.2">
      <c r="B220" s="914" t="s">
        <v>429</v>
      </c>
      <c r="C220" s="917" t="s">
        <v>266</v>
      </c>
    </row>
    <row r="221" spans="2:3" ht="12.75" x14ac:dyDescent="0.2">
      <c r="B221" s="914" t="s">
        <v>268</v>
      </c>
      <c r="C221" s="917" t="s">
        <v>266</v>
      </c>
    </row>
    <row r="222" spans="2:3" ht="12.75" x14ac:dyDescent="0.2">
      <c r="B222" s="914" t="s">
        <v>490</v>
      </c>
      <c r="C222" s="917" t="s">
        <v>274</v>
      </c>
    </row>
    <row r="223" spans="2:3" ht="12.75" x14ac:dyDescent="0.2">
      <c r="B223" s="914" t="s">
        <v>491</v>
      </c>
      <c r="C223" s="917" t="s">
        <v>274</v>
      </c>
    </row>
    <row r="224" spans="2:3" ht="12.75" x14ac:dyDescent="0.2">
      <c r="B224" s="914" t="s">
        <v>492</v>
      </c>
      <c r="C224" s="917" t="s">
        <v>274</v>
      </c>
    </row>
    <row r="225" spans="2:3" ht="12.75" x14ac:dyDescent="0.2">
      <c r="B225" s="914" t="s">
        <v>493</v>
      </c>
      <c r="C225" s="917" t="s">
        <v>274</v>
      </c>
    </row>
    <row r="226" spans="2:3" ht="12.75" x14ac:dyDescent="0.2">
      <c r="B226" s="914" t="s">
        <v>494</v>
      </c>
      <c r="C226" s="917" t="s">
        <v>274</v>
      </c>
    </row>
    <row r="227" spans="2:3" ht="12.75" x14ac:dyDescent="0.2">
      <c r="B227" s="914" t="s">
        <v>273</v>
      </c>
      <c r="C227" s="917" t="s">
        <v>274</v>
      </c>
    </row>
    <row r="228" spans="2:3" ht="12.75" x14ac:dyDescent="0.2">
      <c r="B228" s="914" t="s">
        <v>495</v>
      </c>
      <c r="C228" s="917" t="s">
        <v>274</v>
      </c>
    </row>
    <row r="229" spans="2:3" ht="12.75" x14ac:dyDescent="0.2">
      <c r="B229" s="914" t="s">
        <v>496</v>
      </c>
      <c r="C229" s="917" t="s">
        <v>274</v>
      </c>
    </row>
    <row r="230" spans="2:3" ht="12.75" x14ac:dyDescent="0.2">
      <c r="B230" s="914" t="s">
        <v>497</v>
      </c>
      <c r="C230" s="917" t="s">
        <v>274</v>
      </c>
    </row>
    <row r="231" spans="2:3" ht="12.75" x14ac:dyDescent="0.2">
      <c r="B231" s="914" t="s">
        <v>498</v>
      </c>
      <c r="C231" s="917" t="s">
        <v>274</v>
      </c>
    </row>
    <row r="232" spans="2:3" ht="12.75" x14ac:dyDescent="0.2">
      <c r="B232" s="914" t="s">
        <v>499</v>
      </c>
      <c r="C232" s="917" t="s">
        <v>274</v>
      </c>
    </row>
    <row r="233" spans="2:3" ht="12.75" x14ac:dyDescent="0.2">
      <c r="B233" s="914" t="s">
        <v>275</v>
      </c>
      <c r="C233" s="917" t="s">
        <v>274</v>
      </c>
    </row>
    <row r="234" spans="2:3" ht="12.75" x14ac:dyDescent="0.2">
      <c r="B234" s="914" t="s">
        <v>500</v>
      </c>
      <c r="C234" s="917" t="s">
        <v>274</v>
      </c>
    </row>
    <row r="235" spans="2:3" ht="12.75" x14ac:dyDescent="0.2">
      <c r="B235" s="914" t="s">
        <v>501</v>
      </c>
      <c r="C235" s="917" t="s">
        <v>274</v>
      </c>
    </row>
    <row r="236" spans="2:3" ht="12.75" x14ac:dyDescent="0.2">
      <c r="B236" s="914" t="s">
        <v>502</v>
      </c>
      <c r="C236" s="917" t="s">
        <v>274</v>
      </c>
    </row>
    <row r="237" spans="2:3" ht="12.75" x14ac:dyDescent="0.2">
      <c r="B237" s="914" t="s">
        <v>503</v>
      </c>
      <c r="C237" s="917" t="s">
        <v>274</v>
      </c>
    </row>
    <row r="238" spans="2:3" ht="12.75" x14ac:dyDescent="0.2">
      <c r="B238" s="914" t="s">
        <v>1241</v>
      </c>
      <c r="C238" s="917" t="s">
        <v>274</v>
      </c>
    </row>
    <row r="239" spans="2:3" ht="12.75" x14ac:dyDescent="0.2">
      <c r="B239" s="914" t="s">
        <v>276</v>
      </c>
      <c r="C239" s="917" t="s">
        <v>274</v>
      </c>
    </row>
    <row r="240" spans="2:3" ht="12.75" x14ac:dyDescent="0.2">
      <c r="B240" s="914" t="s">
        <v>504</v>
      </c>
      <c r="C240" s="917" t="s">
        <v>274</v>
      </c>
    </row>
    <row r="241" spans="2:3" ht="12.75" x14ac:dyDescent="0.2">
      <c r="B241" s="914" t="s">
        <v>505</v>
      </c>
      <c r="C241" s="917" t="s">
        <v>274</v>
      </c>
    </row>
    <row r="242" spans="2:3" ht="12.75" x14ac:dyDescent="0.2">
      <c r="B242" s="914" t="s">
        <v>506</v>
      </c>
      <c r="C242" s="917" t="s">
        <v>274</v>
      </c>
    </row>
    <row r="243" spans="2:3" ht="12.75" x14ac:dyDescent="0.2">
      <c r="B243" s="914" t="s">
        <v>507</v>
      </c>
      <c r="C243" s="917" t="s">
        <v>274</v>
      </c>
    </row>
    <row r="244" spans="2:3" ht="12.75" x14ac:dyDescent="0.2">
      <c r="B244" s="914" t="s">
        <v>278</v>
      </c>
      <c r="C244" s="917" t="s">
        <v>274</v>
      </c>
    </row>
    <row r="245" spans="2:3" ht="12.75" x14ac:dyDescent="0.2">
      <c r="B245" s="914" t="s">
        <v>1155</v>
      </c>
      <c r="C245" s="917" t="s">
        <v>283</v>
      </c>
    </row>
    <row r="246" spans="2:3" ht="12.75" x14ac:dyDescent="0.2">
      <c r="B246" s="914" t="s">
        <v>488</v>
      </c>
      <c r="C246" s="917" t="s">
        <v>283</v>
      </c>
    </row>
    <row r="247" spans="2:3" ht="12.75" x14ac:dyDescent="0.2">
      <c r="B247" s="914" t="s">
        <v>489</v>
      </c>
      <c r="C247" s="917" t="s">
        <v>283</v>
      </c>
    </row>
    <row r="248" spans="2:3" ht="12.75" x14ac:dyDescent="0.2">
      <c r="B248" s="914" t="s">
        <v>1144</v>
      </c>
      <c r="C248" s="917" t="s">
        <v>283</v>
      </c>
    </row>
    <row r="249" spans="2:3" ht="12.75" x14ac:dyDescent="0.2">
      <c r="B249" s="914" t="s">
        <v>430</v>
      </c>
      <c r="C249" s="917" t="s">
        <v>283</v>
      </c>
    </row>
    <row r="250" spans="2:3" ht="12.75" x14ac:dyDescent="0.2">
      <c r="B250" s="914" t="s">
        <v>431</v>
      </c>
      <c r="C250" s="917" t="s">
        <v>283</v>
      </c>
    </row>
    <row r="251" spans="2:3" ht="12.75" x14ac:dyDescent="0.2">
      <c r="B251" s="914" t="s">
        <v>432</v>
      </c>
      <c r="C251" s="917" t="s">
        <v>283</v>
      </c>
    </row>
    <row r="252" spans="2:3" ht="12.75" x14ac:dyDescent="0.2">
      <c r="B252" s="914" t="s">
        <v>433</v>
      </c>
      <c r="C252" s="917" t="s">
        <v>283</v>
      </c>
    </row>
    <row r="253" spans="2:3" ht="12.75" x14ac:dyDescent="0.2">
      <c r="B253" s="914" t="s">
        <v>434</v>
      </c>
      <c r="C253" s="917" t="s">
        <v>283</v>
      </c>
    </row>
    <row r="254" spans="2:3" ht="12.75" x14ac:dyDescent="0.2">
      <c r="B254" s="914" t="s">
        <v>435</v>
      </c>
      <c r="C254" s="917" t="s">
        <v>283</v>
      </c>
    </row>
    <row r="255" spans="2:3" ht="12.75" x14ac:dyDescent="0.2">
      <c r="B255" s="914" t="s">
        <v>286</v>
      </c>
      <c r="C255" s="917" t="s">
        <v>283</v>
      </c>
    </row>
    <row r="256" spans="2:3" ht="12.75" x14ac:dyDescent="0.2">
      <c r="B256" s="914" t="s">
        <v>436</v>
      </c>
      <c r="C256" s="917" t="s">
        <v>283</v>
      </c>
    </row>
    <row r="257" spans="2:3" ht="12.75" x14ac:dyDescent="0.2">
      <c r="B257" s="914" t="s">
        <v>437</v>
      </c>
      <c r="C257" s="917" t="s">
        <v>283</v>
      </c>
    </row>
    <row r="258" spans="2:3" ht="12.75" x14ac:dyDescent="0.2">
      <c r="B258" s="914" t="s">
        <v>438</v>
      </c>
      <c r="C258" s="917" t="s">
        <v>283</v>
      </c>
    </row>
    <row r="259" spans="2:3" ht="12.75" x14ac:dyDescent="0.2">
      <c r="B259" s="914" t="s">
        <v>473</v>
      </c>
      <c r="C259" s="917" t="s">
        <v>283</v>
      </c>
    </row>
    <row r="260" spans="2:3" ht="12.75" x14ac:dyDescent="0.2">
      <c r="B260" s="914" t="s">
        <v>474</v>
      </c>
      <c r="C260" s="917" t="s">
        <v>283</v>
      </c>
    </row>
    <row r="261" spans="2:3" ht="12.75" x14ac:dyDescent="0.2">
      <c r="B261" s="914" t="s">
        <v>475</v>
      </c>
      <c r="C261" s="917" t="s">
        <v>283</v>
      </c>
    </row>
    <row r="262" spans="2:3" ht="12.75" x14ac:dyDescent="0.2">
      <c r="B262" s="914" t="s">
        <v>476</v>
      </c>
      <c r="C262" s="917" t="s">
        <v>283</v>
      </c>
    </row>
    <row r="263" spans="2:3" ht="12.75" x14ac:dyDescent="0.2">
      <c r="B263" s="914" t="s">
        <v>477</v>
      </c>
      <c r="C263" s="917" t="s">
        <v>283</v>
      </c>
    </row>
    <row r="264" spans="2:3" ht="12.75" x14ac:dyDescent="0.2">
      <c r="B264" s="914" t="s">
        <v>1234</v>
      </c>
      <c r="C264" s="917" t="s">
        <v>283</v>
      </c>
    </row>
    <row r="265" spans="2:3" ht="12.75" x14ac:dyDescent="0.2">
      <c r="B265" s="914" t="s">
        <v>478</v>
      </c>
      <c r="C265" s="917" t="s">
        <v>283</v>
      </c>
    </row>
    <row r="266" spans="2:3" ht="12.75" x14ac:dyDescent="0.2">
      <c r="B266" s="914" t="s">
        <v>479</v>
      </c>
      <c r="C266" s="917" t="s">
        <v>283</v>
      </c>
    </row>
    <row r="267" spans="2:3" ht="12.75" x14ac:dyDescent="0.2">
      <c r="B267" s="914" t="s">
        <v>480</v>
      </c>
      <c r="C267" s="917" t="s">
        <v>283</v>
      </c>
    </row>
    <row r="268" spans="2:3" ht="12.75" x14ac:dyDescent="0.2">
      <c r="B268" s="914" t="s">
        <v>481</v>
      </c>
      <c r="C268" s="917" t="s">
        <v>283</v>
      </c>
    </row>
    <row r="269" spans="2:3" ht="12.75" x14ac:dyDescent="0.2">
      <c r="B269" s="914" t="s">
        <v>482</v>
      </c>
      <c r="C269" s="917" t="s">
        <v>283</v>
      </c>
    </row>
    <row r="270" spans="2:3" ht="12.75" x14ac:dyDescent="0.2">
      <c r="B270" s="914" t="s">
        <v>483</v>
      </c>
      <c r="C270" s="917" t="s">
        <v>283</v>
      </c>
    </row>
    <row r="271" spans="2:3" ht="12.75" x14ac:dyDescent="0.2">
      <c r="B271" s="914" t="s">
        <v>287</v>
      </c>
      <c r="C271" s="917" t="s">
        <v>283</v>
      </c>
    </row>
    <row r="272" spans="2:3" ht="12.75" x14ac:dyDescent="0.2">
      <c r="B272" s="914" t="s">
        <v>484</v>
      </c>
      <c r="C272" s="917" t="s">
        <v>283</v>
      </c>
    </row>
    <row r="273" spans="2:3" ht="12.75" x14ac:dyDescent="0.2">
      <c r="B273" s="914" t="s">
        <v>485</v>
      </c>
      <c r="C273" s="917" t="s">
        <v>283</v>
      </c>
    </row>
    <row r="274" spans="2:3" ht="12.75" x14ac:dyDescent="0.2">
      <c r="B274" s="914" t="s">
        <v>486</v>
      </c>
      <c r="C274" s="917" t="s">
        <v>283</v>
      </c>
    </row>
    <row r="275" spans="2:3" ht="12.75" x14ac:dyDescent="0.2">
      <c r="B275" s="914" t="s">
        <v>487</v>
      </c>
      <c r="C275" s="917" t="s">
        <v>283</v>
      </c>
    </row>
    <row r="276" spans="2:3" ht="12.75" x14ac:dyDescent="0.2">
      <c r="B276" s="914" t="s">
        <v>288</v>
      </c>
      <c r="C276" s="917" t="s">
        <v>283</v>
      </c>
    </row>
    <row r="277" spans="2:3" ht="12.75" x14ac:dyDescent="0.2">
      <c r="B277" s="914" t="s">
        <v>1250</v>
      </c>
      <c r="C277" s="917" t="s">
        <v>244</v>
      </c>
    </row>
    <row r="278" spans="2:3" ht="12.75" x14ac:dyDescent="0.2">
      <c r="B278" s="914" t="s">
        <v>508</v>
      </c>
      <c r="C278" s="917" t="s">
        <v>244</v>
      </c>
    </row>
    <row r="279" spans="2:3" ht="12.75" x14ac:dyDescent="0.2">
      <c r="B279" s="914" t="s">
        <v>509</v>
      </c>
      <c r="C279" s="917" t="s">
        <v>244</v>
      </c>
    </row>
    <row r="280" spans="2:3" ht="12.75" x14ac:dyDescent="0.2">
      <c r="B280" s="914" t="s">
        <v>510</v>
      </c>
      <c r="C280" s="917" t="s">
        <v>244</v>
      </c>
    </row>
    <row r="281" spans="2:3" ht="12.75" x14ac:dyDescent="0.2">
      <c r="B281" s="914" t="s">
        <v>511</v>
      </c>
      <c r="C281" s="917" t="s">
        <v>244</v>
      </c>
    </row>
    <row r="282" spans="2:3" ht="12.75" x14ac:dyDescent="0.2">
      <c r="B282" s="914" t="s">
        <v>512</v>
      </c>
      <c r="C282" s="917" t="s">
        <v>244</v>
      </c>
    </row>
    <row r="283" spans="2:3" ht="12.75" x14ac:dyDescent="0.2">
      <c r="B283" s="914" t="s">
        <v>243</v>
      </c>
      <c r="C283" s="917" t="s">
        <v>244</v>
      </c>
    </row>
    <row r="284" spans="2:3" ht="12.75" x14ac:dyDescent="0.2">
      <c r="B284" s="914" t="s">
        <v>513</v>
      </c>
      <c r="C284" s="917" t="s">
        <v>244</v>
      </c>
    </row>
    <row r="285" spans="2:3" ht="12.75" x14ac:dyDescent="0.2">
      <c r="B285" s="914" t="s">
        <v>514</v>
      </c>
      <c r="C285" s="917" t="s">
        <v>244</v>
      </c>
    </row>
    <row r="286" spans="2:3" ht="12.75" x14ac:dyDescent="0.2">
      <c r="B286" s="914" t="s">
        <v>515</v>
      </c>
      <c r="C286" s="917" t="s">
        <v>244</v>
      </c>
    </row>
    <row r="287" spans="2:3" ht="12.75" x14ac:dyDescent="0.2">
      <c r="B287" s="914" t="s">
        <v>516</v>
      </c>
      <c r="C287" s="917" t="s">
        <v>244</v>
      </c>
    </row>
    <row r="288" spans="2:3" ht="12.75" x14ac:dyDescent="0.2">
      <c r="B288" s="914" t="s">
        <v>1156</v>
      </c>
      <c r="C288" s="917" t="s">
        <v>244</v>
      </c>
    </row>
    <row r="289" spans="2:3" ht="12.75" x14ac:dyDescent="0.2">
      <c r="B289" s="914" t="s">
        <v>1232</v>
      </c>
      <c r="C289" s="917" t="s">
        <v>244</v>
      </c>
    </row>
    <row r="290" spans="2:3" ht="12.75" x14ac:dyDescent="0.2">
      <c r="B290" s="914" t="s">
        <v>517</v>
      </c>
      <c r="C290" s="917" t="s">
        <v>244</v>
      </c>
    </row>
    <row r="291" spans="2:3" ht="12.75" x14ac:dyDescent="0.2">
      <c r="B291" s="914" t="s">
        <v>518</v>
      </c>
      <c r="C291" s="917" t="s">
        <v>244</v>
      </c>
    </row>
    <row r="292" spans="2:3" ht="12.75" x14ac:dyDescent="0.2">
      <c r="B292" s="914" t="s">
        <v>519</v>
      </c>
      <c r="C292" s="917" t="s">
        <v>244</v>
      </c>
    </row>
    <row r="293" spans="2:3" ht="12.75" x14ac:dyDescent="0.2">
      <c r="B293" s="914" t="s">
        <v>520</v>
      </c>
      <c r="C293" s="917" t="s">
        <v>244</v>
      </c>
    </row>
    <row r="294" spans="2:3" ht="12.75" x14ac:dyDescent="0.2">
      <c r="B294" s="914" t="s">
        <v>264</v>
      </c>
      <c r="C294" s="917" t="s">
        <v>244</v>
      </c>
    </row>
    <row r="295" spans="2:3" ht="12.75" x14ac:dyDescent="0.2">
      <c r="B295" s="914" t="s">
        <v>521</v>
      </c>
      <c r="C295" s="917" t="s">
        <v>244</v>
      </c>
    </row>
    <row r="296" spans="2:3" ht="12.75" x14ac:dyDescent="0.2">
      <c r="B296" s="914" t="s">
        <v>522</v>
      </c>
      <c r="C296" s="917" t="s">
        <v>244</v>
      </c>
    </row>
    <row r="297" spans="2:3" ht="12.75" x14ac:dyDescent="0.2">
      <c r="B297" s="914" t="s">
        <v>523</v>
      </c>
      <c r="C297" s="917" t="s">
        <v>244</v>
      </c>
    </row>
    <row r="298" spans="2:3" ht="12.75" x14ac:dyDescent="0.2">
      <c r="B298" s="914" t="s">
        <v>524</v>
      </c>
      <c r="C298" s="917" t="s">
        <v>244</v>
      </c>
    </row>
    <row r="299" spans="2:3" ht="12.75" x14ac:dyDescent="0.2">
      <c r="B299" s="914" t="s">
        <v>525</v>
      </c>
      <c r="C299" s="917" t="s">
        <v>244</v>
      </c>
    </row>
    <row r="300" spans="2:3" ht="12.75" x14ac:dyDescent="0.2">
      <c r="B300" s="914" t="s">
        <v>526</v>
      </c>
      <c r="C300" s="917" t="s">
        <v>244</v>
      </c>
    </row>
    <row r="301" spans="2:3" ht="12.75" x14ac:dyDescent="0.2">
      <c r="B301" s="914" t="s">
        <v>527</v>
      </c>
      <c r="C301" s="917" t="s">
        <v>244</v>
      </c>
    </row>
    <row r="302" spans="2:3" ht="12.75" x14ac:dyDescent="0.2">
      <c r="B302" s="914" t="s">
        <v>277</v>
      </c>
      <c r="C302" s="917" t="s">
        <v>244</v>
      </c>
    </row>
    <row r="303" spans="2:3" ht="12.75" x14ac:dyDescent="0.2">
      <c r="B303" s="914" t="s">
        <v>528</v>
      </c>
      <c r="C303" s="917" t="s">
        <v>244</v>
      </c>
    </row>
    <row r="304" spans="2:3" ht="12.75" x14ac:dyDescent="0.2">
      <c r="B304" s="914" t="s">
        <v>529</v>
      </c>
      <c r="C304" s="917" t="s">
        <v>244</v>
      </c>
    </row>
    <row r="305" spans="2:3" ht="12.75" x14ac:dyDescent="0.2">
      <c r="B305" s="914" t="s">
        <v>530</v>
      </c>
      <c r="C305" s="917" t="s">
        <v>244</v>
      </c>
    </row>
    <row r="306" spans="2:3" ht="12.75" x14ac:dyDescent="0.2">
      <c r="B306" s="914" t="s">
        <v>285</v>
      </c>
      <c r="C306" s="917" t="s">
        <v>244</v>
      </c>
    </row>
    <row r="307" spans="2:3" x14ac:dyDescent="0.2">
      <c r="C307" s="919">
        <f>COUNTA(C29:C306)</f>
        <v>278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tabSelected="1" view="pageBreakPreview" topLeftCell="A20" zoomScaleNormal="100" zoomScaleSheetLayoutView="100" workbookViewId="0"/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1218</v>
      </c>
      <c r="B1" s="829"/>
      <c r="C1" s="828" t="s">
        <v>1217</v>
      </c>
      <c r="E1" s="827" t="s">
        <v>1216</v>
      </c>
    </row>
    <row r="2" spans="1:5" x14ac:dyDescent="0.2">
      <c r="A2" s="817" t="str">
        <f>B2&amp;" - "&amp;C2</f>
        <v>Vote 1 - Executive &amp; Council</v>
      </c>
      <c r="B2" s="825" t="s">
        <v>970</v>
      </c>
      <c r="C2" s="823" t="s">
        <v>1284</v>
      </c>
      <c r="E2" s="826"/>
    </row>
    <row r="3" spans="1:5" x14ac:dyDescent="0.2">
      <c r="A3" s="817" t="str">
        <f>B13&amp;" - "&amp; C13</f>
        <v>Vote 2 - Finance &amp; Administration</v>
      </c>
      <c r="B3" s="822">
        <v>1.1000000000000001</v>
      </c>
      <c r="C3" s="821" t="s">
        <v>1280</v>
      </c>
      <c r="D3" s="817" t="str">
        <f t="shared" ref="D3:D12" si="0">CONCATENATE(B3, " - ", C3)</f>
        <v>1.1 - Mayor</v>
      </c>
      <c r="E3" s="820" t="s">
        <v>1307</v>
      </c>
    </row>
    <row r="4" spans="1:5" x14ac:dyDescent="0.2">
      <c r="A4" s="817" t="str">
        <f>B24&amp;" - "&amp;C24</f>
        <v>Vote 3 - Planning &amp; Development</v>
      </c>
      <c r="B4" s="822">
        <v>1.2</v>
      </c>
      <c r="C4" s="821" t="s">
        <v>1281</v>
      </c>
      <c r="D4" s="817" t="str">
        <f t="shared" si="0"/>
        <v>1.2 - Speaker</v>
      </c>
      <c r="E4" s="820" t="s">
        <v>1308</v>
      </c>
    </row>
    <row r="5" spans="1:5" x14ac:dyDescent="0.2">
      <c r="A5" s="817" t="str">
        <f>B35&amp;" - "&amp;C35</f>
        <v>Vote 4 - Technical Services</v>
      </c>
      <c r="B5" s="822">
        <v>1.3</v>
      </c>
      <c r="C5" s="821" t="s">
        <v>1282</v>
      </c>
      <c r="D5" s="817" t="str">
        <f t="shared" si="0"/>
        <v>1.3 - Council</v>
      </c>
      <c r="E5" s="820" t="s">
        <v>1309</v>
      </c>
    </row>
    <row r="6" spans="1:5" x14ac:dyDescent="0.2">
      <c r="A6" s="817" t="str">
        <f>B46&amp;" - "&amp;C46</f>
        <v>Vote 5 - Community &amp; Social Services</v>
      </c>
      <c r="B6" s="822">
        <v>1.4</v>
      </c>
      <c r="C6" s="821" t="s">
        <v>195</v>
      </c>
      <c r="D6" s="817" t="str">
        <f t="shared" si="0"/>
        <v>1.4 - Municipal Manager</v>
      </c>
      <c r="E6" s="820" t="s">
        <v>1310</v>
      </c>
    </row>
    <row r="7" spans="1:5" x14ac:dyDescent="0.2">
      <c r="A7" s="817" t="str">
        <f>B57&amp;" - "&amp;C57</f>
        <v>Vote 6 - [NAME OF VOTE 6]</v>
      </c>
      <c r="B7" s="822">
        <v>1.5</v>
      </c>
      <c r="C7" s="821" t="s">
        <v>1283</v>
      </c>
      <c r="D7" s="817" t="str">
        <f t="shared" si="0"/>
        <v>1.5 - Internal Audit</v>
      </c>
      <c r="E7" s="820" t="s">
        <v>1311</v>
      </c>
    </row>
    <row r="8" spans="1:5" x14ac:dyDescent="0.2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 x14ac:dyDescent="0.2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 x14ac:dyDescent="0.2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 x14ac:dyDescent="0.2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 x14ac:dyDescent="0.2">
      <c r="A12" s="817" t="str">
        <f>B112&amp;" - "&amp;C112</f>
        <v>Vote 11 - [NAME OF VOTE 11]</v>
      </c>
      <c r="B12" s="822" t="s">
        <v>1215</v>
      </c>
      <c r="C12" s="821"/>
      <c r="D12" s="817" t="str">
        <f t="shared" si="0"/>
        <v xml:space="preserve">1.10 - </v>
      </c>
      <c r="E12" s="820"/>
    </row>
    <row r="13" spans="1:5" x14ac:dyDescent="0.2">
      <c r="A13" s="817" t="str">
        <f>B123&amp;" - "&amp;C123</f>
        <v>Vote 12 - [NAME OF VOTE 12]</v>
      </c>
      <c r="B13" s="825" t="s">
        <v>969</v>
      </c>
      <c r="C13" s="823" t="s">
        <v>1285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1286</v>
      </c>
      <c r="D14" s="817" t="str">
        <f t="shared" ref="D14:D23" si="1">CONCATENATE(B14, " - ", C14)</f>
        <v>2.1 - Budget &amp; Treasury</v>
      </c>
      <c r="E14" s="820" t="s">
        <v>1312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196</v>
      </c>
      <c r="D15" s="817" t="str">
        <f t="shared" si="1"/>
        <v>2.2 - Human Resources</v>
      </c>
      <c r="E15" s="820" t="s">
        <v>1313</v>
      </c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197</v>
      </c>
      <c r="D16" s="817" t="str">
        <f t="shared" si="1"/>
        <v>2.3 - Information Technology</v>
      </c>
      <c r="E16" s="820" t="s">
        <v>1314</v>
      </c>
    </row>
    <row r="17" spans="1:5" x14ac:dyDescent="0.2">
      <c r="B17" s="822">
        <v>2.4</v>
      </c>
      <c r="C17" s="821" t="s">
        <v>1287</v>
      </c>
      <c r="D17" s="817" t="str">
        <f t="shared" si="1"/>
        <v>2.4 - Records &amp; Registry</v>
      </c>
      <c r="E17" s="820" t="s">
        <v>1315</v>
      </c>
    </row>
    <row r="18" spans="1:5" x14ac:dyDescent="0.2">
      <c r="B18" s="822">
        <v>2.5</v>
      </c>
      <c r="C18" s="821" t="s">
        <v>1288</v>
      </c>
      <c r="D18" s="817" t="str">
        <f t="shared" si="1"/>
        <v>2.5 - Labour Relations</v>
      </c>
      <c r="E18" s="820" t="s">
        <v>1316</v>
      </c>
    </row>
    <row r="19" spans="1:5" x14ac:dyDescent="0.2">
      <c r="B19" s="822">
        <v>2.6</v>
      </c>
      <c r="C19" s="821"/>
      <c r="D19" s="817" t="str">
        <f t="shared" si="1"/>
        <v xml:space="preserve">2.6 - </v>
      </c>
      <c r="E19" s="820"/>
    </row>
    <row r="20" spans="1:5" x14ac:dyDescent="0.2">
      <c r="B20" s="822">
        <v>2.7</v>
      </c>
      <c r="C20" s="821"/>
      <c r="D20" s="817" t="str">
        <f t="shared" si="1"/>
        <v xml:space="preserve">2.7 - </v>
      </c>
      <c r="E20" s="820"/>
    </row>
    <row r="21" spans="1:5" x14ac:dyDescent="0.2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 x14ac:dyDescent="0.2">
      <c r="B22" s="822">
        <v>2.9</v>
      </c>
      <c r="C22" s="821"/>
      <c r="D22" s="817" t="str">
        <f t="shared" si="1"/>
        <v xml:space="preserve">2.9 - </v>
      </c>
      <c r="E22" s="820"/>
    </row>
    <row r="23" spans="1:5" x14ac:dyDescent="0.2">
      <c r="B23" s="822" t="s">
        <v>1214</v>
      </c>
      <c r="C23" s="821"/>
      <c r="D23" s="817" t="str">
        <f t="shared" si="1"/>
        <v xml:space="preserve">2.10 - </v>
      </c>
      <c r="E23" s="820"/>
    </row>
    <row r="24" spans="1:5" x14ac:dyDescent="0.2">
      <c r="B24" s="825" t="s">
        <v>968</v>
      </c>
      <c r="C24" s="823" t="s">
        <v>1289</v>
      </c>
      <c r="E24" s="820"/>
    </row>
    <row r="25" spans="1:5" x14ac:dyDescent="0.2">
      <c r="B25" s="822">
        <v>3.1</v>
      </c>
      <c r="C25" s="821" t="s">
        <v>1290</v>
      </c>
      <c r="D25" s="817" t="str">
        <f t="shared" ref="D25:D34" si="2">CONCATENATE(B25, " - ", C25)</f>
        <v>3.1 - Local Economic Development</v>
      </c>
      <c r="E25" s="820" t="s">
        <v>1317</v>
      </c>
    </row>
    <row r="26" spans="1:5" x14ac:dyDescent="0.2">
      <c r="B26" s="822">
        <v>3.2</v>
      </c>
      <c r="C26" s="821" t="s">
        <v>1291</v>
      </c>
      <c r="D26" s="817" t="str">
        <f t="shared" si="2"/>
        <v>3.2 - Intergrated Development Plan</v>
      </c>
      <c r="E26" s="820" t="s">
        <v>1318</v>
      </c>
    </row>
    <row r="27" spans="1:5" x14ac:dyDescent="0.2">
      <c r="B27" s="822">
        <v>3.3</v>
      </c>
      <c r="C27" s="821" t="s">
        <v>1292</v>
      </c>
      <c r="D27" s="817" t="str">
        <f t="shared" si="2"/>
        <v>3.3 - Land Use Management</v>
      </c>
      <c r="E27" s="820" t="s">
        <v>1319</v>
      </c>
    </row>
    <row r="28" spans="1:5" x14ac:dyDescent="0.2">
      <c r="B28" s="822">
        <v>3.4</v>
      </c>
      <c r="C28" s="821" t="s">
        <v>1293</v>
      </c>
      <c r="D28" s="817" t="str">
        <f t="shared" si="2"/>
        <v>3.4 - Spatial Planning</v>
      </c>
      <c r="E28" s="820" t="s">
        <v>1320</v>
      </c>
    </row>
    <row r="29" spans="1:5" x14ac:dyDescent="0.2">
      <c r="B29" s="822">
        <v>3.5</v>
      </c>
      <c r="C29" s="821" t="s">
        <v>1294</v>
      </c>
      <c r="D29" s="817" t="str">
        <f t="shared" si="2"/>
        <v>3.5 - Town Planning</v>
      </c>
      <c r="E29" s="820" t="s">
        <v>1321</v>
      </c>
    </row>
    <row r="30" spans="1:5" x14ac:dyDescent="0.2">
      <c r="B30" s="822">
        <v>3.6</v>
      </c>
      <c r="C30" s="821" t="s">
        <v>1295</v>
      </c>
      <c r="D30" s="817" t="str">
        <f t="shared" si="2"/>
        <v xml:space="preserve">3.6 - Housing </v>
      </c>
      <c r="E30" s="820" t="s">
        <v>1322</v>
      </c>
    </row>
    <row r="31" spans="1:5" x14ac:dyDescent="0.2">
      <c r="B31" s="822">
        <v>3.7</v>
      </c>
      <c r="C31" s="821"/>
      <c r="D31" s="817" t="str">
        <f t="shared" si="2"/>
        <v xml:space="preserve">3.7 - </v>
      </c>
      <c r="E31" s="820"/>
    </row>
    <row r="32" spans="1:5" x14ac:dyDescent="0.2">
      <c r="B32" s="822">
        <v>3.8</v>
      </c>
      <c r="C32" s="821"/>
      <c r="D32" s="817" t="str">
        <f t="shared" si="2"/>
        <v xml:space="preserve">3.8 - </v>
      </c>
      <c r="E32" s="820"/>
    </row>
    <row r="33" spans="2:5" x14ac:dyDescent="0.2">
      <c r="B33" s="822">
        <v>3.9</v>
      </c>
      <c r="C33" s="821"/>
      <c r="D33" s="817" t="str">
        <f t="shared" si="2"/>
        <v xml:space="preserve">3.9 - </v>
      </c>
      <c r="E33" s="820"/>
    </row>
    <row r="34" spans="2:5" x14ac:dyDescent="0.2">
      <c r="B34" s="822" t="s">
        <v>1213</v>
      </c>
      <c r="C34" s="821"/>
      <c r="D34" s="817" t="str">
        <f t="shared" si="2"/>
        <v xml:space="preserve">3.10 - </v>
      </c>
      <c r="E34" s="820"/>
    </row>
    <row r="35" spans="2:5" x14ac:dyDescent="0.2">
      <c r="B35" s="825" t="s">
        <v>967</v>
      </c>
      <c r="C35" s="823" t="s">
        <v>1296</v>
      </c>
      <c r="E35" s="820"/>
    </row>
    <row r="36" spans="2:5" x14ac:dyDescent="0.2">
      <c r="B36" s="822">
        <v>4.0999999999999996</v>
      </c>
      <c r="C36" s="821" t="s">
        <v>763</v>
      </c>
      <c r="D36" s="817" t="str">
        <f t="shared" ref="D36:D45" si="3">CONCATENATE(B36, " - ", C36)</f>
        <v>4.1 - Electricity</v>
      </c>
      <c r="E36" s="820" t="s">
        <v>1323</v>
      </c>
    </row>
    <row r="37" spans="2:5" x14ac:dyDescent="0.2">
      <c r="B37" s="822">
        <v>4.2</v>
      </c>
      <c r="C37" s="821" t="s">
        <v>1297</v>
      </c>
      <c r="D37" s="817" t="str">
        <f t="shared" si="3"/>
        <v>4.2 - Sewerage Reticulation</v>
      </c>
      <c r="E37" s="820" t="s">
        <v>1324</v>
      </c>
    </row>
    <row r="38" spans="2:5" x14ac:dyDescent="0.2">
      <c r="B38" s="822">
        <v>4.3</v>
      </c>
      <c r="C38" s="821" t="s">
        <v>1298</v>
      </c>
      <c r="D38" s="817" t="str">
        <f t="shared" si="3"/>
        <v>4.3 - Public Works</v>
      </c>
      <c r="E38" s="820" t="s">
        <v>1325</v>
      </c>
    </row>
    <row r="39" spans="2:5" x14ac:dyDescent="0.2">
      <c r="B39" s="822">
        <v>4.4000000000000004</v>
      </c>
      <c r="C39" s="821" t="s">
        <v>1299</v>
      </c>
      <c r="D39" s="817" t="str">
        <f t="shared" si="3"/>
        <v>4.4 - Project Management Unit</v>
      </c>
      <c r="E39" s="820" t="s">
        <v>1326</v>
      </c>
    </row>
    <row r="40" spans="2:5" x14ac:dyDescent="0.2">
      <c r="B40" s="822">
        <v>4.5</v>
      </c>
      <c r="C40" s="821" t="s">
        <v>1300</v>
      </c>
      <c r="D40" s="817" t="str">
        <f t="shared" si="3"/>
        <v>4.5 - Municipal Buildings</v>
      </c>
      <c r="E40" s="820" t="s">
        <v>1327</v>
      </c>
    </row>
    <row r="41" spans="2:5" x14ac:dyDescent="0.2">
      <c r="B41" s="822">
        <v>4.5999999999999996</v>
      </c>
      <c r="C41" s="821" t="s">
        <v>1301</v>
      </c>
      <c r="D41" s="817" t="str">
        <f t="shared" si="3"/>
        <v>4.6 - Mechanical Workshop</v>
      </c>
      <c r="E41" s="820" t="s">
        <v>1328</v>
      </c>
    </row>
    <row r="42" spans="2:5" x14ac:dyDescent="0.2">
      <c r="B42" s="822">
        <v>4.7</v>
      </c>
      <c r="C42" s="821" t="s">
        <v>538</v>
      </c>
      <c r="D42" s="817" t="str">
        <f t="shared" si="3"/>
        <v>4.7 - Water</v>
      </c>
      <c r="E42" s="820" t="s">
        <v>1329</v>
      </c>
    </row>
    <row r="43" spans="2:5" x14ac:dyDescent="0.2">
      <c r="B43" s="822">
        <v>4.8</v>
      </c>
      <c r="C43" s="821"/>
      <c r="D43" s="817" t="str">
        <f t="shared" si="3"/>
        <v xml:space="preserve">4.8 - </v>
      </c>
      <c r="E43" s="820"/>
    </row>
    <row r="44" spans="2:5" x14ac:dyDescent="0.2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 x14ac:dyDescent="0.2">
      <c r="B45" s="822" t="s">
        <v>1212</v>
      </c>
      <c r="C45" s="821"/>
      <c r="D45" s="817" t="str">
        <f t="shared" si="3"/>
        <v xml:space="preserve">4.10 - </v>
      </c>
      <c r="E45" s="820"/>
    </row>
    <row r="46" spans="2:5" x14ac:dyDescent="0.2">
      <c r="B46" s="825" t="s">
        <v>966</v>
      </c>
      <c r="C46" s="823" t="s">
        <v>1302</v>
      </c>
      <c r="E46" s="820"/>
    </row>
    <row r="47" spans="2:5" x14ac:dyDescent="0.2">
      <c r="B47" s="822">
        <v>5.0999999999999996</v>
      </c>
      <c r="C47" s="821" t="s">
        <v>11</v>
      </c>
      <c r="D47" s="817" t="str">
        <f t="shared" ref="D47:D56" si="4">CONCATENATE(B47, " - ", C47)</f>
        <v>5.1 - Refuse</v>
      </c>
      <c r="E47" s="820" t="s">
        <v>1330</v>
      </c>
    </row>
    <row r="48" spans="2:5" x14ac:dyDescent="0.2">
      <c r="B48" s="822">
        <v>5.2</v>
      </c>
      <c r="C48" s="821" t="s">
        <v>1303</v>
      </c>
      <c r="D48" s="817" t="str">
        <f t="shared" si="4"/>
        <v>5.2 - Parks and Sports</v>
      </c>
      <c r="E48" s="820" t="s">
        <v>1331</v>
      </c>
    </row>
    <row r="49" spans="2:5" x14ac:dyDescent="0.2">
      <c r="B49" s="822">
        <v>5.3</v>
      </c>
      <c r="C49" s="821" t="s">
        <v>1304</v>
      </c>
      <c r="D49" s="817" t="str">
        <f t="shared" si="4"/>
        <v>5.3 - Streets</v>
      </c>
      <c r="E49" s="820" t="s">
        <v>1332</v>
      </c>
    </row>
    <row r="50" spans="2:5" x14ac:dyDescent="0.2">
      <c r="B50" s="822">
        <v>5.4</v>
      </c>
      <c r="C50" s="821" t="s">
        <v>1305</v>
      </c>
      <c r="D50" s="817" t="str">
        <f t="shared" si="4"/>
        <v>5.4 - Traffic</v>
      </c>
      <c r="E50" s="820" t="s">
        <v>1334</v>
      </c>
    </row>
    <row r="51" spans="2:5" x14ac:dyDescent="0.2">
      <c r="B51" s="822">
        <v>5.5</v>
      </c>
      <c r="C51" s="821" t="s">
        <v>612</v>
      </c>
      <c r="D51" s="817" t="str">
        <f t="shared" si="4"/>
        <v>5.5 - Cemeteries</v>
      </c>
      <c r="E51" s="820" t="s">
        <v>1333</v>
      </c>
    </row>
    <row r="52" spans="2:5" x14ac:dyDescent="0.2">
      <c r="B52" s="822">
        <v>5.6</v>
      </c>
      <c r="C52" s="821" t="s">
        <v>694</v>
      </c>
      <c r="D52" s="817" t="str">
        <f t="shared" si="4"/>
        <v>5.6 - Libraries</v>
      </c>
      <c r="E52" s="820" t="s">
        <v>1335</v>
      </c>
    </row>
    <row r="53" spans="2:5" x14ac:dyDescent="0.2">
      <c r="B53" s="822">
        <v>5.7</v>
      </c>
      <c r="C53" s="821" t="s">
        <v>1306</v>
      </c>
      <c r="D53" s="817" t="str">
        <f t="shared" si="4"/>
        <v>5.7 - Security Services</v>
      </c>
      <c r="E53" s="820" t="s">
        <v>1336</v>
      </c>
    </row>
    <row r="54" spans="2:5" x14ac:dyDescent="0.2">
      <c r="B54" s="822">
        <v>5.8</v>
      </c>
      <c r="C54" s="821"/>
      <c r="D54" s="817" t="str">
        <f t="shared" si="4"/>
        <v xml:space="preserve">5.8 - </v>
      </c>
      <c r="E54" s="820"/>
    </row>
    <row r="55" spans="2:5" x14ac:dyDescent="0.2">
      <c r="B55" s="822">
        <v>5.9</v>
      </c>
      <c r="C55" s="821"/>
      <c r="D55" s="817" t="str">
        <f t="shared" si="4"/>
        <v xml:space="preserve">5.9 - </v>
      </c>
      <c r="E55" s="820"/>
    </row>
    <row r="56" spans="2:5" x14ac:dyDescent="0.2">
      <c r="B56" s="822" t="s">
        <v>1211</v>
      </c>
      <c r="C56" s="821"/>
      <c r="D56" s="817" t="str">
        <f t="shared" si="4"/>
        <v xml:space="preserve">5.10 - </v>
      </c>
      <c r="E56" s="820"/>
    </row>
    <row r="57" spans="2:5" x14ac:dyDescent="0.2">
      <c r="B57" s="825" t="s">
        <v>965</v>
      </c>
      <c r="C57" s="823" t="s">
        <v>1210</v>
      </c>
      <c r="E57" s="820"/>
    </row>
    <row r="58" spans="2:5" x14ac:dyDescent="0.2">
      <c r="B58" s="822">
        <v>6.1</v>
      </c>
      <c r="C58" s="821" t="s">
        <v>1180</v>
      </c>
      <c r="D58" s="817" t="str">
        <f t="shared" ref="D58:D67" si="5">CONCATENATE(B58, " - ", C58)</f>
        <v>6.1 - [Name of sub-vote]</v>
      </c>
      <c r="E58" s="820" t="s">
        <v>1209</v>
      </c>
    </row>
    <row r="59" spans="2:5" x14ac:dyDescent="0.2">
      <c r="B59" s="822">
        <v>6.2</v>
      </c>
      <c r="C59" s="821" t="s">
        <v>1180</v>
      </c>
      <c r="D59" s="817" t="str">
        <f t="shared" si="5"/>
        <v>6.2 - [Name of sub-vote]</v>
      </c>
      <c r="E59" s="820"/>
    </row>
    <row r="60" spans="2:5" x14ac:dyDescent="0.2">
      <c r="B60" s="822">
        <v>6.3</v>
      </c>
      <c r="C60" s="821" t="s">
        <v>1180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1180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1180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1180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1180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1180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1180</v>
      </c>
      <c r="D66" s="817" t="str">
        <f t="shared" si="5"/>
        <v>6.9 - [Name of sub-vote]</v>
      </c>
      <c r="E66" s="820"/>
    </row>
    <row r="67" spans="2:5" x14ac:dyDescent="0.2">
      <c r="B67" s="822" t="s">
        <v>1208</v>
      </c>
      <c r="C67" s="821" t="s">
        <v>1180</v>
      </c>
      <c r="D67" s="817" t="str">
        <f t="shared" si="5"/>
        <v>6.10 - [Name of sub-vote]</v>
      </c>
      <c r="E67" s="820"/>
    </row>
    <row r="68" spans="2:5" x14ac:dyDescent="0.2">
      <c r="B68" s="824" t="s">
        <v>964</v>
      </c>
      <c r="C68" s="823" t="s">
        <v>1207</v>
      </c>
      <c r="E68" s="820"/>
    </row>
    <row r="69" spans="2:5" x14ac:dyDescent="0.2">
      <c r="B69" s="822">
        <v>7.1</v>
      </c>
      <c r="C69" s="821" t="s">
        <v>1180</v>
      </c>
      <c r="D69" s="817" t="str">
        <f t="shared" ref="D69:D78" si="6">CONCATENATE(B69, " - ", C69)</f>
        <v>7.1 - [Name of sub-vote]</v>
      </c>
      <c r="E69" s="820" t="s">
        <v>1206</v>
      </c>
    </row>
    <row r="70" spans="2:5" x14ac:dyDescent="0.2">
      <c r="B70" s="822">
        <v>7.2</v>
      </c>
      <c r="C70" s="821" t="s">
        <v>1180</v>
      </c>
      <c r="D70" s="817" t="str">
        <f t="shared" si="6"/>
        <v>7.2 - [Name of sub-vote]</v>
      </c>
      <c r="E70" s="820"/>
    </row>
    <row r="71" spans="2:5" x14ac:dyDescent="0.2">
      <c r="B71" s="822">
        <v>7.3</v>
      </c>
      <c r="C71" s="821" t="s">
        <v>1180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1180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1180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1180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1180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1180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1180</v>
      </c>
      <c r="D77" s="817" t="str">
        <f t="shared" si="6"/>
        <v>7.9 - [Name of sub-vote]</v>
      </c>
      <c r="E77" s="820"/>
    </row>
    <row r="78" spans="2:5" x14ac:dyDescent="0.2">
      <c r="B78" s="822" t="s">
        <v>1205</v>
      </c>
      <c r="C78" s="821" t="s">
        <v>1180</v>
      </c>
      <c r="D78" s="817" t="str">
        <f t="shared" si="6"/>
        <v>7.10 - [Name of sub-vote]</v>
      </c>
      <c r="E78" s="820"/>
    </row>
    <row r="79" spans="2:5" x14ac:dyDescent="0.2">
      <c r="B79" s="824" t="s">
        <v>963</v>
      </c>
      <c r="C79" s="823" t="s">
        <v>1204</v>
      </c>
      <c r="E79" s="820"/>
    </row>
    <row r="80" spans="2:5" x14ac:dyDescent="0.2">
      <c r="B80" s="822">
        <v>8.1</v>
      </c>
      <c r="C80" s="821" t="s">
        <v>1180</v>
      </c>
      <c r="D80" s="817" t="str">
        <f t="shared" ref="D80:D89" si="7">CONCATENATE(B80, " - ", C80)</f>
        <v>8.1 - [Name of sub-vote]</v>
      </c>
      <c r="E80" s="820" t="s">
        <v>1203</v>
      </c>
    </row>
    <row r="81" spans="2:5" x14ac:dyDescent="0.2">
      <c r="B81" s="822">
        <v>8.1999999999999993</v>
      </c>
      <c r="C81" s="821" t="s">
        <v>1180</v>
      </c>
      <c r="D81" s="817" t="str">
        <f t="shared" si="7"/>
        <v>8.2 - [Name of sub-vote]</v>
      </c>
      <c r="E81" s="820"/>
    </row>
    <row r="82" spans="2:5" x14ac:dyDescent="0.2">
      <c r="B82" s="822">
        <v>8.3000000000000007</v>
      </c>
      <c r="C82" s="821" t="s">
        <v>1180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1180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1180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1180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1180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1180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1180</v>
      </c>
      <c r="D88" s="817" t="str">
        <f t="shared" si="7"/>
        <v>8.9 - [Name of sub-vote]</v>
      </c>
      <c r="E88" s="820"/>
    </row>
    <row r="89" spans="2:5" x14ac:dyDescent="0.2">
      <c r="B89" s="822" t="s">
        <v>1202</v>
      </c>
      <c r="C89" s="821" t="s">
        <v>1180</v>
      </c>
      <c r="D89" s="817" t="str">
        <f t="shared" si="7"/>
        <v>8.10 - [Name of sub-vote]</v>
      </c>
      <c r="E89" s="820"/>
    </row>
    <row r="90" spans="2:5" x14ac:dyDescent="0.2">
      <c r="B90" s="824" t="s">
        <v>962</v>
      </c>
      <c r="C90" s="823" t="s">
        <v>1201</v>
      </c>
      <c r="E90" s="820"/>
    </row>
    <row r="91" spans="2:5" x14ac:dyDescent="0.2">
      <c r="B91" s="822">
        <v>9.1</v>
      </c>
      <c r="C91" s="821" t="s">
        <v>1180</v>
      </c>
      <c r="D91" s="817" t="str">
        <f t="shared" ref="D91:D100" si="8">CONCATENATE(B91, " - ", C91)</f>
        <v>9.1 - [Name of sub-vote]</v>
      </c>
      <c r="E91" s="820" t="s">
        <v>1200</v>
      </c>
    </row>
    <row r="92" spans="2:5" x14ac:dyDescent="0.2">
      <c r="B92" s="822">
        <v>9.1999999999999993</v>
      </c>
      <c r="C92" s="821" t="s">
        <v>1180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1180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1180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1180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1180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1180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1180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1180</v>
      </c>
      <c r="D99" s="817" t="str">
        <f t="shared" si="8"/>
        <v>9.9 - [Name of sub-vote]</v>
      </c>
      <c r="E99" s="820"/>
    </row>
    <row r="100" spans="2:5" x14ac:dyDescent="0.2">
      <c r="B100" s="822" t="s">
        <v>1199</v>
      </c>
      <c r="C100" s="821" t="s">
        <v>1180</v>
      </c>
      <c r="D100" s="817" t="str">
        <f t="shared" si="8"/>
        <v>9.10 - [Name of sub-vote]</v>
      </c>
      <c r="E100" s="820"/>
    </row>
    <row r="101" spans="2:5" x14ac:dyDescent="0.2">
      <c r="B101" s="824" t="s">
        <v>961</v>
      </c>
      <c r="C101" s="823" t="s">
        <v>1198</v>
      </c>
      <c r="E101" s="820"/>
    </row>
    <row r="102" spans="2:5" x14ac:dyDescent="0.2">
      <c r="B102" s="822">
        <v>10.1</v>
      </c>
      <c r="C102" s="821" t="s">
        <v>1180</v>
      </c>
      <c r="D102" s="817" t="str">
        <f t="shared" ref="D102:D111" si="9">CONCATENATE(B102, " - ", C102)</f>
        <v>10.1 - [Name of sub-vote]</v>
      </c>
      <c r="E102" s="820" t="s">
        <v>1197</v>
      </c>
    </row>
    <row r="103" spans="2:5" x14ac:dyDescent="0.2">
      <c r="B103" s="822">
        <v>10.199999999999999</v>
      </c>
      <c r="C103" s="821" t="s">
        <v>1180</v>
      </c>
      <c r="D103" s="817" t="str">
        <f t="shared" si="9"/>
        <v>10.2 - [Name of sub-vote]</v>
      </c>
      <c r="E103" s="820"/>
    </row>
    <row r="104" spans="2:5" x14ac:dyDescent="0.2">
      <c r="B104" s="822">
        <v>10.3</v>
      </c>
      <c r="C104" s="821" t="s">
        <v>1180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1180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1180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1180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1180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1180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1180</v>
      </c>
      <c r="D110" s="817" t="str">
        <f t="shared" si="9"/>
        <v>10.9 - [Name of sub-vote]</v>
      </c>
      <c r="E110" s="820"/>
    </row>
    <row r="111" spans="2:5" x14ac:dyDescent="0.2">
      <c r="B111" s="822" t="s">
        <v>1196</v>
      </c>
      <c r="C111" s="821" t="s">
        <v>1180</v>
      </c>
      <c r="D111" s="817" t="str">
        <f t="shared" si="9"/>
        <v>10.10 - [Name of sub-vote]</v>
      </c>
      <c r="E111" s="820"/>
    </row>
    <row r="112" spans="2:5" x14ac:dyDescent="0.2">
      <c r="B112" s="824" t="s">
        <v>960</v>
      </c>
      <c r="C112" s="823" t="s">
        <v>1195</v>
      </c>
      <c r="E112" s="820"/>
    </row>
    <row r="113" spans="2:5" x14ac:dyDescent="0.2">
      <c r="B113" s="822">
        <v>11.1</v>
      </c>
      <c r="C113" s="821" t="s">
        <v>1180</v>
      </c>
      <c r="D113" s="817" t="str">
        <f t="shared" ref="D113:D122" si="10">CONCATENATE(B113, " - ", C113)</f>
        <v>11.1 - [Name of sub-vote]</v>
      </c>
      <c r="E113" s="820" t="s">
        <v>1194</v>
      </c>
    </row>
    <row r="114" spans="2:5" x14ac:dyDescent="0.2">
      <c r="B114" s="822">
        <v>11.2</v>
      </c>
      <c r="C114" s="821" t="s">
        <v>1180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1180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1180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1180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1180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1180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1180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1180</v>
      </c>
      <c r="D121" s="817" t="str">
        <f t="shared" si="10"/>
        <v>11.9 - [Name of sub-vote]</v>
      </c>
      <c r="E121" s="820"/>
    </row>
    <row r="122" spans="2:5" x14ac:dyDescent="0.2">
      <c r="B122" s="822" t="s">
        <v>1193</v>
      </c>
      <c r="C122" s="821" t="s">
        <v>1180</v>
      </c>
      <c r="D122" s="817" t="str">
        <f t="shared" si="10"/>
        <v>11.10 - [Name of sub-vote]</v>
      </c>
      <c r="E122" s="820"/>
    </row>
    <row r="123" spans="2:5" x14ac:dyDescent="0.2">
      <c r="B123" s="824" t="s">
        <v>959</v>
      </c>
      <c r="C123" s="823" t="s">
        <v>1192</v>
      </c>
      <c r="E123" s="820"/>
    </row>
    <row r="124" spans="2:5" x14ac:dyDescent="0.2">
      <c r="B124" s="822">
        <v>12.1</v>
      </c>
      <c r="C124" s="821" t="s">
        <v>1180</v>
      </c>
      <c r="D124" s="817" t="str">
        <f t="shared" ref="D124:D133" si="11">CONCATENATE(B124, " - ", C124)</f>
        <v>12.1 - [Name of sub-vote]</v>
      </c>
      <c r="E124" s="820" t="s">
        <v>1191</v>
      </c>
    </row>
    <row r="125" spans="2:5" x14ac:dyDescent="0.2">
      <c r="B125" s="822">
        <v>12.2</v>
      </c>
      <c r="C125" s="821" t="s">
        <v>1180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1180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1180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1180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1180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1180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1180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1180</v>
      </c>
      <c r="D132" s="817" t="str">
        <f t="shared" si="11"/>
        <v>12.9 - [Name of sub-vote]</v>
      </c>
      <c r="E132" s="820"/>
    </row>
    <row r="133" spans="2:5" x14ac:dyDescent="0.2">
      <c r="B133" s="822" t="s">
        <v>1190</v>
      </c>
      <c r="C133" s="821" t="s">
        <v>1180</v>
      </c>
      <c r="D133" s="817" t="str">
        <f t="shared" si="11"/>
        <v>12.10 - [Name of sub-vote]</v>
      </c>
      <c r="E133" s="820"/>
    </row>
    <row r="134" spans="2:5" x14ac:dyDescent="0.2">
      <c r="B134" s="824" t="s">
        <v>958</v>
      </c>
      <c r="C134" s="823" t="s">
        <v>1189</v>
      </c>
      <c r="E134" s="820"/>
    </row>
    <row r="135" spans="2:5" x14ac:dyDescent="0.2">
      <c r="B135" s="822">
        <v>13.1</v>
      </c>
      <c r="C135" s="821" t="s">
        <v>1180</v>
      </c>
      <c r="D135" s="817" t="str">
        <f t="shared" ref="D135:D144" si="12">CONCATENATE(B135, " - ", C135)</f>
        <v>13.1 - [Name of sub-vote]</v>
      </c>
      <c r="E135" s="820" t="s">
        <v>1188</v>
      </c>
    </row>
    <row r="136" spans="2:5" x14ac:dyDescent="0.2">
      <c r="B136" s="822">
        <v>13.2</v>
      </c>
      <c r="C136" s="821" t="s">
        <v>1180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1180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1180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1180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1180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1180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1180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1180</v>
      </c>
      <c r="D143" s="817" t="str">
        <f t="shared" si="12"/>
        <v>13.9 - [Name of sub-vote]</v>
      </c>
      <c r="E143" s="820"/>
    </row>
    <row r="144" spans="2:5" x14ac:dyDescent="0.2">
      <c r="B144" s="822" t="s">
        <v>1187</v>
      </c>
      <c r="C144" s="821" t="s">
        <v>1180</v>
      </c>
      <c r="D144" s="817" t="str">
        <f t="shared" si="12"/>
        <v>13.10 - [Name of sub-vote]</v>
      </c>
      <c r="E144" s="820"/>
    </row>
    <row r="145" spans="2:5" x14ac:dyDescent="0.2">
      <c r="B145" s="824" t="s">
        <v>957</v>
      </c>
      <c r="C145" s="823" t="s">
        <v>1186</v>
      </c>
      <c r="E145" s="820"/>
    </row>
    <row r="146" spans="2:5" x14ac:dyDescent="0.2">
      <c r="B146" s="822">
        <v>14.1</v>
      </c>
      <c r="C146" s="821" t="s">
        <v>1180</v>
      </c>
      <c r="D146" s="817" t="str">
        <f t="shared" ref="D146:D155" si="13">CONCATENATE(B146, " - ", C146)</f>
        <v>14.1 - [Name of sub-vote]</v>
      </c>
      <c r="E146" s="820" t="s">
        <v>1185</v>
      </c>
    </row>
    <row r="147" spans="2:5" x14ac:dyDescent="0.2">
      <c r="B147" s="822">
        <v>14.2</v>
      </c>
      <c r="C147" s="821" t="s">
        <v>1180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1180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1180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1180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1180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1180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1180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1180</v>
      </c>
      <c r="D154" s="817" t="str">
        <f t="shared" si="13"/>
        <v>14.9 - [Name of sub-vote]</v>
      </c>
      <c r="E154" s="820"/>
    </row>
    <row r="155" spans="2:5" x14ac:dyDescent="0.2">
      <c r="B155" s="822" t="s">
        <v>1184</v>
      </c>
      <c r="C155" s="821" t="s">
        <v>1180</v>
      </c>
      <c r="D155" s="817" t="str">
        <f t="shared" si="13"/>
        <v>14.10 - [Name of sub-vote]</v>
      </c>
      <c r="E155" s="820"/>
    </row>
    <row r="156" spans="2:5" x14ac:dyDescent="0.2">
      <c r="B156" s="824" t="s">
        <v>956</v>
      </c>
      <c r="C156" s="823" t="s">
        <v>1183</v>
      </c>
      <c r="E156" s="820"/>
    </row>
    <row r="157" spans="2:5" x14ac:dyDescent="0.2">
      <c r="B157" s="822">
        <v>15.1</v>
      </c>
      <c r="C157" s="821" t="s">
        <v>1180</v>
      </c>
      <c r="D157" s="817" t="str">
        <f t="shared" ref="D157:D166" si="14">CONCATENATE(B157, " - ", C157)</f>
        <v>15.1 - [Name of sub-vote]</v>
      </c>
      <c r="E157" s="820" t="s">
        <v>1182</v>
      </c>
    </row>
    <row r="158" spans="2:5" x14ac:dyDescent="0.2">
      <c r="B158" s="822">
        <v>15.2</v>
      </c>
      <c r="C158" s="821" t="s">
        <v>1180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1180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1180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1180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1180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1180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1180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1180</v>
      </c>
      <c r="D165" s="817" t="str">
        <f t="shared" si="14"/>
        <v>15.9 - [Name of sub-vote]</v>
      </c>
      <c r="E165" s="820"/>
    </row>
    <row r="166" spans="2:5" x14ac:dyDescent="0.2">
      <c r="B166" s="822" t="s">
        <v>1181</v>
      </c>
      <c r="C166" s="821" t="s">
        <v>1180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tabSelected="1" view="pageBreakPreview" zoomScaleNormal="100" zoomScaleSheetLayoutView="100" workbookViewId="0"/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NW385 Ramotshere Moiloa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">
        <v>1344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>
        <v>3</v>
      </c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e">
        <f>IF(B4&gt;" ",VLOOKUP(B4,'Lookup and lists'!B28:C311,2, FALSE)," ")</f>
        <v>#N/A</v>
      </c>
      <c r="C8" s="955"/>
      <c r="D8" s="955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943" t="s">
        <v>1372</v>
      </c>
      <c r="C10" s="865"/>
      <c r="D10" s="866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7"/>
      <c r="B11" s="868"/>
      <c r="C11" s="956"/>
      <c r="D11" s="957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869"/>
      <c r="C12" s="870"/>
      <c r="D12" s="87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1"/>
      <c r="B13" s="872"/>
      <c r="C13" s="958"/>
      <c r="D13" s="958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59" t="s">
        <v>446</v>
      </c>
      <c r="B14" s="960"/>
      <c r="C14" s="855"/>
      <c r="D14" s="855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5" t="s">
        <v>447</v>
      </c>
      <c r="B15" s="876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7" t="s">
        <v>448</v>
      </c>
      <c r="B16" s="944" t="s">
        <v>1345</v>
      </c>
      <c r="C16" s="833"/>
      <c r="D16" s="833"/>
      <c r="E16" s="855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7" t="s">
        <v>449</v>
      </c>
      <c r="B17" s="944" t="s">
        <v>1346</v>
      </c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 x14ac:dyDescent="0.2">
      <c r="A18" s="879" t="s">
        <v>450</v>
      </c>
      <c r="B18" s="944">
        <v>2865</v>
      </c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 x14ac:dyDescent="0.2">
      <c r="A19" s="881"/>
      <c r="B19" s="882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 x14ac:dyDescent="0.2">
      <c r="A20" s="883" t="s">
        <v>451</v>
      </c>
      <c r="B20" s="884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 x14ac:dyDescent="0.2">
      <c r="A21" s="877" t="s">
        <v>452</v>
      </c>
      <c r="B21" s="878" t="s">
        <v>1344</v>
      </c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 x14ac:dyDescent="0.2">
      <c r="A22" s="877" t="s">
        <v>453</v>
      </c>
      <c r="B22" s="878" t="s">
        <v>1347</v>
      </c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 x14ac:dyDescent="0.2">
      <c r="A23" s="877" t="s">
        <v>449</v>
      </c>
      <c r="B23" s="878" t="s">
        <v>1346</v>
      </c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 x14ac:dyDescent="0.2">
      <c r="A24" s="879" t="s">
        <v>450</v>
      </c>
      <c r="B24" s="880">
        <v>2865</v>
      </c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 x14ac:dyDescent="0.2">
      <c r="A25" s="881"/>
      <c r="B25" s="882"/>
      <c r="D25" s="885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 x14ac:dyDescent="0.2">
      <c r="A26" s="883" t="s">
        <v>454</v>
      </c>
      <c r="B26" s="886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 x14ac:dyDescent="0.2">
      <c r="A27" s="877" t="s">
        <v>455</v>
      </c>
      <c r="B27" s="878" t="s">
        <v>1341</v>
      </c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 x14ac:dyDescent="0.2">
      <c r="A28" s="879" t="s">
        <v>456</v>
      </c>
      <c r="B28" s="887" t="s">
        <v>1342</v>
      </c>
      <c r="J28" s="874"/>
      <c r="K28" s="874"/>
      <c r="L28" s="874"/>
      <c r="M28" s="874"/>
      <c r="N28" s="874"/>
      <c r="O28" s="874"/>
      <c r="P28" s="846"/>
    </row>
    <row r="29" spans="1:16" ht="13.5" customHeight="1" x14ac:dyDescent="0.2">
      <c r="A29" s="881"/>
      <c r="B29" s="888"/>
      <c r="P29" s="846"/>
    </row>
    <row r="30" spans="1:16" ht="13.5" customHeight="1" thickBot="1" x14ac:dyDescent="0.25">
      <c r="A30" s="961" t="s">
        <v>457</v>
      </c>
      <c r="B30" s="962"/>
      <c r="C30" s="963"/>
      <c r="D30" s="964"/>
      <c r="P30" s="846"/>
    </row>
    <row r="31" spans="1:16" ht="13.5" customHeight="1" thickTop="1" x14ac:dyDescent="0.2">
      <c r="A31" s="883" t="s">
        <v>458</v>
      </c>
      <c r="B31" s="884"/>
      <c r="C31" s="965" t="s">
        <v>459</v>
      </c>
      <c r="D31" s="966"/>
      <c r="P31" s="846"/>
    </row>
    <row r="32" spans="1:16" ht="13.5" customHeight="1" x14ac:dyDescent="0.2">
      <c r="A32" s="877" t="s">
        <v>460</v>
      </c>
      <c r="B32" s="889" t="s">
        <v>1348</v>
      </c>
      <c r="C32" s="877" t="s">
        <v>460</v>
      </c>
      <c r="D32" s="889" t="s">
        <v>1359</v>
      </c>
      <c r="P32" s="846"/>
    </row>
    <row r="33" spans="1:16" ht="13.5" customHeight="1" x14ac:dyDescent="0.2">
      <c r="A33" s="877" t="s">
        <v>455</v>
      </c>
      <c r="B33" s="889" t="s">
        <v>1341</v>
      </c>
      <c r="C33" s="877" t="s">
        <v>455</v>
      </c>
      <c r="D33" s="889" t="s">
        <v>1341</v>
      </c>
      <c r="F33" s="843"/>
      <c r="G33" s="845"/>
      <c r="P33" s="846"/>
    </row>
    <row r="34" spans="1:16" ht="13.5" customHeight="1" x14ac:dyDescent="0.2">
      <c r="A34" s="877" t="s">
        <v>461</v>
      </c>
      <c r="B34" s="889"/>
      <c r="C34" s="877" t="s">
        <v>461</v>
      </c>
      <c r="D34" s="889"/>
      <c r="F34" s="843"/>
      <c r="G34" s="845"/>
      <c r="P34" s="846"/>
    </row>
    <row r="35" spans="1:16" ht="13.5" customHeight="1" x14ac:dyDescent="0.2">
      <c r="A35" s="877" t="s">
        <v>456</v>
      </c>
      <c r="B35" s="889" t="s">
        <v>1342</v>
      </c>
      <c r="C35" s="877" t="s">
        <v>456</v>
      </c>
      <c r="D35" s="889" t="s">
        <v>1342</v>
      </c>
      <c r="F35" s="844"/>
      <c r="G35" s="845"/>
      <c r="P35" s="846"/>
    </row>
    <row r="36" spans="1:16" ht="13.5" customHeight="1" x14ac:dyDescent="0.2">
      <c r="A36" s="877" t="s">
        <v>462</v>
      </c>
      <c r="B36" s="889"/>
      <c r="C36" s="877" t="s">
        <v>462</v>
      </c>
      <c r="D36" s="889"/>
      <c r="F36" s="844"/>
      <c r="G36" s="845"/>
      <c r="P36" s="846"/>
    </row>
    <row r="37" spans="1:16" ht="13.5" customHeight="1" x14ac:dyDescent="0.2">
      <c r="A37" s="877"/>
      <c r="B37" s="889"/>
      <c r="C37" s="877"/>
      <c r="D37" s="889"/>
      <c r="F37" s="844"/>
      <c r="G37" s="845"/>
      <c r="P37" s="846"/>
    </row>
    <row r="38" spans="1:16" ht="13.5" customHeight="1" x14ac:dyDescent="0.2">
      <c r="A38" s="967" t="s">
        <v>463</v>
      </c>
      <c r="B38" s="968"/>
      <c r="C38" s="967" t="s">
        <v>464</v>
      </c>
      <c r="D38" s="968"/>
      <c r="F38" s="844"/>
      <c r="G38" s="845"/>
      <c r="P38" s="846"/>
    </row>
    <row r="39" spans="1:16" ht="13.5" customHeight="1" x14ac:dyDescent="0.2">
      <c r="A39" s="877" t="s">
        <v>460</v>
      </c>
      <c r="B39" s="878" t="s">
        <v>1349</v>
      </c>
      <c r="C39" s="877" t="s">
        <v>460</v>
      </c>
      <c r="D39" s="878" t="s">
        <v>1360</v>
      </c>
      <c r="F39" s="844"/>
      <c r="G39" s="845"/>
      <c r="P39" s="846"/>
    </row>
    <row r="40" spans="1:16" ht="13.5" customHeight="1" x14ac:dyDescent="0.2">
      <c r="A40" s="877" t="s">
        <v>455</v>
      </c>
      <c r="B40" s="878" t="s">
        <v>1341</v>
      </c>
      <c r="C40" s="877" t="s">
        <v>455</v>
      </c>
      <c r="D40" s="878" t="s">
        <v>1341</v>
      </c>
      <c r="F40" s="873"/>
      <c r="G40" s="845"/>
      <c r="P40" s="846"/>
    </row>
    <row r="41" spans="1:16" ht="13.5" customHeight="1" x14ac:dyDescent="0.2">
      <c r="A41" s="877" t="s">
        <v>461</v>
      </c>
      <c r="B41" s="878"/>
      <c r="C41" s="877" t="s">
        <v>461</v>
      </c>
      <c r="D41" s="878"/>
      <c r="F41" s="874"/>
      <c r="G41" s="845"/>
      <c r="P41" s="846"/>
    </row>
    <row r="42" spans="1:16" ht="13.5" customHeight="1" x14ac:dyDescent="0.2">
      <c r="A42" s="877" t="s">
        <v>456</v>
      </c>
      <c r="B42" s="878" t="s">
        <v>1342</v>
      </c>
      <c r="C42" s="877" t="s">
        <v>456</v>
      </c>
      <c r="D42" s="878" t="s">
        <v>1342</v>
      </c>
      <c r="F42" s="874"/>
      <c r="G42" s="845"/>
      <c r="P42" s="846"/>
    </row>
    <row r="43" spans="1:16" ht="13.5" customHeight="1" x14ac:dyDescent="0.2">
      <c r="A43" s="890" t="s">
        <v>462</v>
      </c>
      <c r="B43" s="891"/>
      <c r="C43" s="890" t="s">
        <v>462</v>
      </c>
      <c r="D43" s="891"/>
      <c r="F43" s="874"/>
      <c r="G43" s="845"/>
      <c r="P43" s="846"/>
    </row>
    <row r="44" spans="1:16" ht="13.5" customHeight="1" x14ac:dyDescent="0.2">
      <c r="A44" s="881"/>
      <c r="B44" s="888"/>
      <c r="C44" s="881"/>
      <c r="D44" s="888"/>
      <c r="F44" s="874"/>
      <c r="G44" s="845"/>
      <c r="P44" s="846"/>
    </row>
    <row r="45" spans="1:16" ht="13.5" customHeight="1" x14ac:dyDescent="0.2">
      <c r="A45" s="967" t="s">
        <v>465</v>
      </c>
      <c r="B45" s="968"/>
      <c r="C45" s="967" t="s">
        <v>466</v>
      </c>
      <c r="D45" s="968"/>
      <c r="F45" s="874"/>
      <c r="G45" s="845"/>
      <c r="P45" s="846"/>
    </row>
    <row r="46" spans="1:16" ht="13.5" customHeight="1" x14ac:dyDescent="0.2">
      <c r="A46" s="877" t="s">
        <v>460</v>
      </c>
      <c r="B46" s="878"/>
      <c r="C46" s="877" t="s">
        <v>460</v>
      </c>
      <c r="D46" s="878"/>
      <c r="F46" s="874"/>
      <c r="G46" s="845"/>
      <c r="P46" s="846"/>
    </row>
    <row r="47" spans="1:16" ht="13.5" customHeight="1" x14ac:dyDescent="0.2">
      <c r="A47" s="877" t="s">
        <v>455</v>
      </c>
      <c r="B47" s="878"/>
      <c r="C47" s="877" t="s">
        <v>455</v>
      </c>
      <c r="D47" s="878"/>
      <c r="F47" s="874"/>
      <c r="G47" s="845"/>
      <c r="P47" s="846"/>
    </row>
    <row r="48" spans="1:16" ht="13.5" customHeight="1" x14ac:dyDescent="0.2">
      <c r="A48" s="877" t="s">
        <v>461</v>
      </c>
      <c r="B48" s="878"/>
      <c r="C48" s="877" t="s">
        <v>461</v>
      </c>
      <c r="D48" s="878"/>
      <c r="F48" s="874"/>
      <c r="G48" s="845"/>
      <c r="P48" s="846"/>
    </row>
    <row r="49" spans="1:17" s="834" customFormat="1" ht="13.5" customHeight="1" x14ac:dyDescent="0.2">
      <c r="A49" s="877" t="s">
        <v>456</v>
      </c>
      <c r="B49" s="878"/>
      <c r="C49" s="877" t="s">
        <v>456</v>
      </c>
      <c r="D49" s="878"/>
      <c r="E49" s="833"/>
      <c r="F49" s="874"/>
      <c r="G49" s="845"/>
      <c r="P49" s="846"/>
    </row>
    <row r="50" spans="1:17" s="834" customFormat="1" ht="13.5" customHeight="1" x14ac:dyDescent="0.2">
      <c r="A50" s="879" t="s">
        <v>462</v>
      </c>
      <c r="B50" s="887"/>
      <c r="C50" s="879" t="s">
        <v>462</v>
      </c>
      <c r="D50" s="887"/>
      <c r="E50" s="833"/>
      <c r="F50" s="874"/>
      <c r="G50" s="845"/>
      <c r="P50" s="846"/>
    </row>
    <row r="51" spans="1:17" s="834" customFormat="1" ht="13.5" customHeight="1" x14ac:dyDescent="0.2">
      <c r="A51" s="881"/>
      <c r="B51" s="888"/>
      <c r="C51" s="881"/>
      <c r="D51" s="888"/>
      <c r="E51" s="833"/>
      <c r="F51" s="874"/>
      <c r="G51" s="845"/>
      <c r="P51" s="846"/>
    </row>
    <row r="52" spans="1:17" s="834" customFormat="1" ht="13.5" customHeight="1" thickBot="1" x14ac:dyDescent="0.25">
      <c r="A52" s="969" t="s">
        <v>467</v>
      </c>
      <c r="B52" s="970"/>
      <c r="C52" s="971"/>
      <c r="D52" s="972"/>
      <c r="E52" s="833"/>
      <c r="F52" s="874"/>
      <c r="G52" s="845"/>
      <c r="P52" s="846"/>
    </row>
    <row r="53" spans="1:17" s="894" customFormat="1" ht="13.5" customHeight="1" thickTop="1" x14ac:dyDescent="0.2">
      <c r="A53" s="883" t="s">
        <v>468</v>
      </c>
      <c r="B53" s="884"/>
      <c r="C53" s="967" t="s">
        <v>469</v>
      </c>
      <c r="D53" s="968"/>
      <c r="E53" s="835"/>
      <c r="F53" s="892"/>
      <c r="G53" s="893"/>
      <c r="P53" s="846"/>
      <c r="Q53" s="834"/>
    </row>
    <row r="54" spans="1:17" s="894" customFormat="1" ht="13.5" customHeight="1" x14ac:dyDescent="0.2">
      <c r="A54" s="877" t="s">
        <v>460</v>
      </c>
      <c r="B54" s="878" t="s">
        <v>1350</v>
      </c>
      <c r="C54" s="877" t="s">
        <v>460</v>
      </c>
      <c r="D54" s="878" t="s">
        <v>1351</v>
      </c>
      <c r="E54" s="835"/>
      <c r="F54" s="892"/>
      <c r="G54" s="893"/>
      <c r="P54" s="846"/>
      <c r="Q54" s="834"/>
    </row>
    <row r="55" spans="1:17" s="834" customFormat="1" ht="13.5" customHeight="1" x14ac:dyDescent="0.2">
      <c r="A55" s="877" t="s">
        <v>455</v>
      </c>
      <c r="B55" s="878" t="s">
        <v>1341</v>
      </c>
      <c r="C55" s="877" t="s">
        <v>455</v>
      </c>
      <c r="D55" s="878" t="s">
        <v>1341</v>
      </c>
      <c r="E55" s="833"/>
      <c r="F55" s="874"/>
      <c r="G55" s="845"/>
      <c r="P55" s="846"/>
    </row>
    <row r="56" spans="1:17" s="834" customFormat="1" ht="13.5" customHeight="1" x14ac:dyDescent="0.2">
      <c r="A56" s="877" t="s">
        <v>461</v>
      </c>
      <c r="B56" s="878"/>
      <c r="C56" s="877" t="s">
        <v>461</v>
      </c>
      <c r="D56" s="878"/>
      <c r="E56" s="833"/>
      <c r="F56" s="874"/>
      <c r="G56" s="845"/>
      <c r="P56" s="846"/>
    </row>
    <row r="57" spans="1:17" s="834" customFormat="1" ht="13.5" customHeight="1" x14ac:dyDescent="0.2">
      <c r="A57" s="877" t="s">
        <v>456</v>
      </c>
      <c r="B57" s="878" t="s">
        <v>1341</v>
      </c>
      <c r="C57" s="877" t="s">
        <v>456</v>
      </c>
      <c r="D57" s="878" t="s">
        <v>1341</v>
      </c>
      <c r="E57" s="833"/>
      <c r="F57" s="874"/>
      <c r="G57" s="845"/>
      <c r="P57" s="846"/>
    </row>
    <row r="58" spans="1:17" ht="13.5" customHeight="1" x14ac:dyDescent="0.2">
      <c r="A58" s="879" t="s">
        <v>462</v>
      </c>
      <c r="B58" s="887"/>
      <c r="C58" s="879" t="s">
        <v>462</v>
      </c>
      <c r="D58" s="887"/>
      <c r="F58" s="874"/>
      <c r="G58" s="845"/>
      <c r="P58" s="846"/>
    </row>
    <row r="59" spans="1:17" ht="13.5" customHeight="1" x14ac:dyDescent="0.2">
      <c r="A59" s="881"/>
      <c r="B59" s="888"/>
      <c r="C59" s="881"/>
      <c r="D59" s="888"/>
      <c r="F59" s="874"/>
      <c r="G59" s="845"/>
      <c r="P59" s="846"/>
    </row>
    <row r="60" spans="1:17" ht="13.5" customHeight="1" x14ac:dyDescent="0.2">
      <c r="A60" s="895" t="s">
        <v>470</v>
      </c>
      <c r="B60" s="886"/>
      <c r="C60" s="967" t="s">
        <v>471</v>
      </c>
      <c r="D60" s="968"/>
      <c r="F60" s="874"/>
      <c r="G60" s="845"/>
      <c r="P60" s="846"/>
    </row>
    <row r="61" spans="1:17" s="896" customFormat="1" ht="13.5" customHeight="1" x14ac:dyDescent="0.2">
      <c r="A61" s="877" t="s">
        <v>460</v>
      </c>
      <c r="B61" s="878" t="s">
        <v>1340</v>
      </c>
      <c r="C61" s="877" t="s">
        <v>460</v>
      </c>
      <c r="D61" s="878" t="s">
        <v>1352</v>
      </c>
      <c r="E61" s="835"/>
      <c r="F61" s="892"/>
      <c r="G61" s="893"/>
      <c r="H61" s="894"/>
      <c r="I61" s="894"/>
      <c r="J61" s="894"/>
      <c r="K61" s="894"/>
      <c r="L61" s="894"/>
      <c r="M61" s="894"/>
      <c r="N61" s="894"/>
      <c r="O61" s="894"/>
      <c r="P61" s="846"/>
      <c r="Q61" s="834"/>
    </row>
    <row r="62" spans="1:17" ht="13.5" customHeight="1" x14ac:dyDescent="0.2">
      <c r="A62" s="877" t="s">
        <v>455</v>
      </c>
      <c r="B62" s="878" t="s">
        <v>1341</v>
      </c>
      <c r="C62" s="877" t="s">
        <v>455</v>
      </c>
      <c r="D62" s="878" t="s">
        <v>1341</v>
      </c>
      <c r="F62" s="874"/>
      <c r="G62" s="845"/>
      <c r="P62" s="846"/>
    </row>
    <row r="63" spans="1:17" ht="13.5" customHeight="1" x14ac:dyDescent="0.2">
      <c r="A63" s="877" t="s">
        <v>461</v>
      </c>
      <c r="B63" s="878"/>
      <c r="C63" s="877" t="s">
        <v>461</v>
      </c>
      <c r="D63" s="878"/>
      <c r="F63" s="874"/>
      <c r="G63" s="845"/>
      <c r="P63" s="846"/>
    </row>
    <row r="64" spans="1:17" ht="13.5" customHeight="1" x14ac:dyDescent="0.2">
      <c r="A64" s="877" t="s">
        <v>456</v>
      </c>
      <c r="B64" s="878" t="s">
        <v>1342</v>
      </c>
      <c r="C64" s="877" t="s">
        <v>456</v>
      </c>
      <c r="D64" s="878" t="s">
        <v>1342</v>
      </c>
      <c r="F64" s="874"/>
      <c r="G64" s="845"/>
      <c r="P64" s="846"/>
    </row>
    <row r="65" spans="1:17" ht="13.5" customHeight="1" x14ac:dyDescent="0.2">
      <c r="A65" s="879" t="s">
        <v>462</v>
      </c>
      <c r="B65" s="887" t="s">
        <v>1343</v>
      </c>
      <c r="C65" s="879" t="s">
        <v>462</v>
      </c>
      <c r="D65" s="945" t="s">
        <v>1353</v>
      </c>
      <c r="F65" s="874"/>
      <c r="G65" s="845"/>
      <c r="P65" s="846"/>
    </row>
    <row r="66" spans="1:17" ht="13.5" customHeight="1" x14ac:dyDescent="0.2">
      <c r="A66" s="881"/>
      <c r="B66" s="888"/>
      <c r="C66" s="881"/>
      <c r="D66" s="888"/>
      <c r="F66" s="874"/>
      <c r="G66" s="845"/>
      <c r="P66" s="846"/>
    </row>
    <row r="67" spans="1:17" ht="13.5" customHeight="1" x14ac:dyDescent="0.2">
      <c r="A67" s="967" t="s">
        <v>472</v>
      </c>
      <c r="B67" s="968"/>
      <c r="C67" s="975"/>
      <c r="D67" s="976"/>
      <c r="F67" s="874"/>
      <c r="G67" s="845"/>
      <c r="P67" s="846"/>
    </row>
    <row r="68" spans="1:17" s="896" customFormat="1" ht="13.5" customHeight="1" x14ac:dyDescent="0.2">
      <c r="A68" s="877" t="s">
        <v>460</v>
      </c>
      <c r="B68" s="878" t="s">
        <v>1354</v>
      </c>
      <c r="C68" s="897"/>
      <c r="D68" s="898"/>
      <c r="E68" s="835"/>
      <c r="F68" s="892"/>
      <c r="G68" s="893"/>
      <c r="H68" s="894"/>
      <c r="I68" s="894"/>
      <c r="J68" s="894"/>
      <c r="K68" s="894"/>
      <c r="L68" s="894"/>
      <c r="M68" s="894"/>
      <c r="N68" s="894"/>
      <c r="O68" s="894"/>
      <c r="P68" s="846"/>
      <c r="Q68" s="834"/>
    </row>
    <row r="69" spans="1:17" ht="13.5" customHeight="1" x14ac:dyDescent="0.2">
      <c r="A69" s="877" t="s">
        <v>455</v>
      </c>
      <c r="B69" s="878" t="s">
        <v>1341</v>
      </c>
      <c r="C69" s="897"/>
      <c r="D69" s="898"/>
      <c r="F69" s="874"/>
      <c r="G69" s="845"/>
      <c r="P69" s="846"/>
    </row>
    <row r="70" spans="1:17" ht="13.5" customHeight="1" x14ac:dyDescent="0.2">
      <c r="A70" s="877" t="s">
        <v>461</v>
      </c>
      <c r="B70" s="878" t="s">
        <v>1355</v>
      </c>
      <c r="C70" s="897"/>
      <c r="D70" s="898"/>
      <c r="F70" s="874"/>
      <c r="G70" s="845"/>
      <c r="P70" s="846"/>
    </row>
    <row r="71" spans="1:17" ht="13.5" customHeight="1" x14ac:dyDescent="0.2">
      <c r="A71" s="877" t="s">
        <v>456</v>
      </c>
      <c r="B71" s="878" t="s">
        <v>1342</v>
      </c>
      <c r="C71" s="897"/>
      <c r="D71" s="898"/>
      <c r="F71" s="874"/>
      <c r="G71" s="845"/>
      <c r="P71" s="846"/>
    </row>
    <row r="72" spans="1:17" ht="13.5" customHeight="1" x14ac:dyDescent="0.2">
      <c r="A72" s="877" t="s">
        <v>462</v>
      </c>
      <c r="B72" s="946" t="s">
        <v>1356</v>
      </c>
      <c r="C72" s="897"/>
      <c r="D72" s="898"/>
      <c r="F72" s="874"/>
      <c r="G72" s="845"/>
      <c r="P72" s="846"/>
    </row>
    <row r="73" spans="1:17" ht="13.5" customHeight="1" x14ac:dyDescent="0.2">
      <c r="A73" s="967" t="s">
        <v>472</v>
      </c>
      <c r="B73" s="968"/>
      <c r="C73" s="973"/>
      <c r="D73" s="974"/>
      <c r="F73" s="874"/>
      <c r="G73" s="845"/>
      <c r="P73" s="846"/>
    </row>
    <row r="74" spans="1:17" ht="13.5" customHeight="1" x14ac:dyDescent="0.2">
      <c r="A74" s="877" t="s">
        <v>460</v>
      </c>
      <c r="B74" s="878" t="s">
        <v>1357</v>
      </c>
      <c r="C74" s="897"/>
      <c r="D74" s="898"/>
      <c r="F74" s="874"/>
      <c r="G74" s="845"/>
      <c r="P74" s="846"/>
    </row>
    <row r="75" spans="1:17" ht="13.5" customHeight="1" x14ac:dyDescent="0.2">
      <c r="A75" s="877" t="s">
        <v>455</v>
      </c>
      <c r="B75" s="878" t="s">
        <v>1341</v>
      </c>
      <c r="C75" s="897"/>
      <c r="D75" s="898"/>
      <c r="F75" s="874"/>
      <c r="G75" s="845"/>
      <c r="P75" s="846"/>
    </row>
    <row r="76" spans="1:17" s="834" customFormat="1" ht="13.5" customHeight="1" x14ac:dyDescent="0.2">
      <c r="A76" s="877" t="s">
        <v>461</v>
      </c>
      <c r="B76" s="878"/>
      <c r="C76" s="897"/>
      <c r="D76" s="898"/>
      <c r="E76" s="833"/>
      <c r="F76" s="874"/>
      <c r="G76" s="845"/>
      <c r="P76" s="846"/>
    </row>
    <row r="77" spans="1:17" s="834" customFormat="1" ht="13.5" customHeight="1" x14ac:dyDescent="0.2">
      <c r="A77" s="877" t="s">
        <v>456</v>
      </c>
      <c r="B77" s="878" t="s">
        <v>1342</v>
      </c>
      <c r="C77" s="897"/>
      <c r="D77" s="898"/>
      <c r="E77" s="833"/>
      <c r="F77" s="874"/>
      <c r="G77" s="845"/>
      <c r="P77" s="846"/>
    </row>
    <row r="78" spans="1:17" s="834" customFormat="1" ht="13.5" customHeight="1" x14ac:dyDescent="0.2">
      <c r="A78" s="877" t="s">
        <v>462</v>
      </c>
      <c r="B78" s="946" t="s">
        <v>1358</v>
      </c>
      <c r="C78" s="897"/>
      <c r="D78" s="898"/>
      <c r="E78" s="833"/>
      <c r="F78" s="874"/>
      <c r="G78" s="845"/>
      <c r="P78" s="846"/>
    </row>
    <row r="79" spans="1:17" s="834" customFormat="1" ht="13.5" customHeight="1" x14ac:dyDescent="0.2">
      <c r="A79" s="967" t="s">
        <v>472</v>
      </c>
      <c r="B79" s="968"/>
      <c r="C79" s="973"/>
      <c r="D79" s="974"/>
      <c r="E79" s="833"/>
      <c r="F79" s="874"/>
      <c r="G79" s="845"/>
      <c r="P79" s="846"/>
    </row>
    <row r="80" spans="1:17" s="834" customFormat="1" ht="13.5" customHeight="1" x14ac:dyDescent="0.2">
      <c r="A80" s="877" t="s">
        <v>460</v>
      </c>
      <c r="B80" s="878"/>
      <c r="C80" s="897"/>
      <c r="D80" s="898"/>
      <c r="E80" s="833"/>
      <c r="F80" s="874"/>
      <c r="G80" s="845"/>
      <c r="P80" s="846"/>
    </row>
    <row r="81" spans="1:25" s="834" customFormat="1" ht="13.5" customHeight="1" x14ac:dyDescent="0.2">
      <c r="A81" s="877" t="s">
        <v>455</v>
      </c>
      <c r="B81" s="878"/>
      <c r="C81" s="897"/>
      <c r="D81" s="898"/>
      <c r="E81" s="833"/>
      <c r="F81" s="874"/>
      <c r="G81" s="845"/>
      <c r="P81" s="846"/>
    </row>
    <row r="82" spans="1:25" s="834" customFormat="1" ht="13.5" customHeight="1" x14ac:dyDescent="0.2">
      <c r="A82" s="877" t="s">
        <v>461</v>
      </c>
      <c r="B82" s="878"/>
      <c r="C82" s="897"/>
      <c r="D82" s="898"/>
      <c r="E82" s="833"/>
      <c r="F82" s="874"/>
      <c r="G82" s="845"/>
      <c r="P82" s="846"/>
    </row>
    <row r="83" spans="1:25" s="834" customFormat="1" ht="13.5" customHeight="1" x14ac:dyDescent="0.2">
      <c r="A83" s="877" t="s">
        <v>456</v>
      </c>
      <c r="B83" s="878"/>
      <c r="C83" s="897"/>
      <c r="D83" s="898"/>
      <c r="E83" s="833"/>
      <c r="F83" s="874"/>
      <c r="G83" s="845"/>
      <c r="P83" s="846"/>
    </row>
    <row r="84" spans="1:25" s="834" customFormat="1" ht="13.5" customHeight="1" x14ac:dyDescent="0.2">
      <c r="A84" s="877" t="s">
        <v>462</v>
      </c>
      <c r="B84" s="878"/>
      <c r="C84" s="881"/>
      <c r="D84" s="888"/>
      <c r="E84" s="833"/>
      <c r="F84" s="874"/>
      <c r="G84" s="845"/>
      <c r="P84" s="846"/>
    </row>
    <row r="85" spans="1:25" s="834" customFormat="1" ht="12.75" customHeight="1" x14ac:dyDescent="0.2">
      <c r="C85" s="833"/>
      <c r="D85" s="833"/>
      <c r="E85" s="833"/>
      <c r="F85" s="874"/>
      <c r="G85" s="845"/>
      <c r="P85" s="846"/>
    </row>
    <row r="86" spans="1:25" s="834" customFormat="1" ht="12.75" customHeight="1" x14ac:dyDescent="0.2">
      <c r="E86" s="833"/>
      <c r="F86" s="874"/>
      <c r="G86" s="845"/>
      <c r="P86" s="846"/>
    </row>
    <row r="87" spans="1:25" s="834" customFormat="1" ht="12.75" customHeight="1" x14ac:dyDescent="0.25">
      <c r="A87" s="853"/>
      <c r="B87" s="899"/>
      <c r="C87" s="899"/>
      <c r="D87" s="899"/>
      <c r="E87" s="833"/>
      <c r="F87" s="874"/>
      <c r="G87" s="845"/>
      <c r="P87" s="846"/>
    </row>
    <row r="88" spans="1:25" s="834" customFormat="1" ht="12.75" customHeight="1" x14ac:dyDescent="0.2">
      <c r="E88" s="833"/>
      <c r="F88" s="874"/>
      <c r="G88" s="845"/>
      <c r="P88" s="846"/>
    </row>
    <row r="89" spans="1:25" s="899" customFormat="1" ht="12.75" customHeight="1" x14ac:dyDescent="0.25">
      <c r="A89" s="833"/>
      <c r="B89" s="833"/>
      <c r="C89" s="833"/>
      <c r="D89" s="833"/>
      <c r="E89" s="900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 x14ac:dyDescent="0.2">
      <c r="A92" s="901"/>
      <c r="B92" s="833"/>
      <c r="C92" s="833"/>
      <c r="D92" s="833"/>
      <c r="E92" s="833"/>
      <c r="P92" s="846"/>
    </row>
    <row r="93" spans="1:25" s="834" customFormat="1" ht="12.75" customHeight="1" x14ac:dyDescent="0.2">
      <c r="A93" s="902"/>
      <c r="B93" s="833"/>
      <c r="C93" s="833"/>
      <c r="D93" s="833"/>
      <c r="E93" s="833"/>
      <c r="P93" s="846"/>
    </row>
    <row r="94" spans="1:25" s="834" customFormat="1" ht="12.75" customHeight="1" x14ac:dyDescent="0.2">
      <c r="A94" s="902"/>
      <c r="B94" s="833"/>
      <c r="C94" s="833"/>
      <c r="D94" s="833"/>
      <c r="E94" s="833"/>
      <c r="P94" s="846"/>
    </row>
    <row r="95" spans="1:25" s="834" customFormat="1" ht="12.75" customHeight="1" x14ac:dyDescent="0.2">
      <c r="A95" s="902"/>
      <c r="B95" s="833"/>
      <c r="C95" s="833"/>
      <c r="D95" s="833"/>
      <c r="E95" s="833"/>
      <c r="P95" s="846"/>
    </row>
    <row r="96" spans="1:25" ht="12.75" customHeight="1" x14ac:dyDescent="0.2">
      <c r="A96" s="902"/>
      <c r="E96" s="903"/>
      <c r="P96" s="846"/>
      <c r="R96" s="904"/>
      <c r="S96" s="904"/>
      <c r="T96" s="904"/>
      <c r="U96" s="904"/>
      <c r="V96" s="904"/>
      <c r="W96" s="904"/>
      <c r="X96" s="904"/>
      <c r="Y96" s="904"/>
    </row>
    <row r="97" spans="1:25" ht="12.75" customHeight="1" x14ac:dyDescent="0.2">
      <c r="A97" s="905"/>
      <c r="B97" s="903"/>
      <c r="C97" s="903"/>
      <c r="D97" s="903"/>
      <c r="E97" s="903"/>
      <c r="P97" s="846"/>
      <c r="R97" s="904"/>
      <c r="S97" s="904"/>
      <c r="T97" s="904"/>
      <c r="U97" s="904"/>
      <c r="V97" s="904"/>
      <c r="W97" s="904"/>
      <c r="X97" s="904"/>
      <c r="Y97" s="904"/>
    </row>
    <row r="98" spans="1:25" ht="12.75" customHeight="1" x14ac:dyDescent="0.2">
      <c r="A98" s="905"/>
      <c r="B98" s="903"/>
      <c r="C98" s="903"/>
      <c r="D98" s="903"/>
      <c r="E98" s="903"/>
      <c r="P98" s="846"/>
      <c r="R98" s="904"/>
      <c r="S98" s="904"/>
      <c r="T98" s="904"/>
      <c r="U98" s="904"/>
      <c r="V98" s="904"/>
      <c r="W98" s="904"/>
      <c r="X98" s="904"/>
      <c r="Y98" s="904"/>
    </row>
    <row r="99" spans="1:25" ht="12.75" customHeight="1" x14ac:dyDescent="0.2">
      <c r="A99" s="905"/>
      <c r="B99" s="903"/>
      <c r="C99" s="903"/>
      <c r="D99" s="903"/>
      <c r="E99" s="903"/>
      <c r="P99" s="846"/>
      <c r="R99" s="904"/>
      <c r="S99" s="904"/>
      <c r="T99" s="904"/>
      <c r="U99" s="904"/>
      <c r="V99" s="904"/>
      <c r="W99" s="904"/>
      <c r="X99" s="904"/>
      <c r="Y99" s="904"/>
    </row>
    <row r="100" spans="1:25" ht="12.75" customHeight="1" x14ac:dyDescent="0.2">
      <c r="A100" s="905"/>
      <c r="B100" s="903"/>
      <c r="C100" s="903"/>
      <c r="D100" s="903"/>
      <c r="E100" s="903"/>
      <c r="P100" s="846"/>
      <c r="R100" s="904"/>
      <c r="S100" s="904"/>
      <c r="T100" s="904"/>
      <c r="U100" s="904"/>
      <c r="V100" s="904"/>
      <c r="W100" s="904"/>
      <c r="X100" s="904"/>
      <c r="Y100" s="904"/>
    </row>
    <row r="101" spans="1:25" ht="12.75" customHeight="1" x14ac:dyDescent="0.2">
      <c r="A101" s="905"/>
      <c r="B101" s="903"/>
      <c r="C101" s="903"/>
      <c r="D101" s="903"/>
      <c r="E101" s="903"/>
      <c r="P101" s="846"/>
      <c r="R101" s="904"/>
      <c r="S101" s="904"/>
      <c r="T101" s="904"/>
      <c r="U101" s="904"/>
      <c r="V101" s="904"/>
      <c r="W101" s="904"/>
      <c r="X101" s="904"/>
      <c r="Y101" s="904"/>
    </row>
    <row r="102" spans="1:25" ht="12.75" customHeight="1" x14ac:dyDescent="0.2">
      <c r="A102" s="905"/>
      <c r="B102" s="903"/>
      <c r="C102" s="903"/>
      <c r="D102" s="903"/>
      <c r="E102" s="903"/>
      <c r="P102" s="846"/>
      <c r="R102" s="904"/>
      <c r="S102" s="904"/>
      <c r="T102" s="904"/>
      <c r="U102" s="904"/>
      <c r="V102" s="904"/>
      <c r="W102" s="904"/>
      <c r="X102" s="904"/>
      <c r="Y102" s="904"/>
    </row>
    <row r="103" spans="1:25" ht="12.75" customHeight="1" x14ac:dyDescent="0.2">
      <c r="A103" s="905"/>
      <c r="B103" s="903"/>
      <c r="C103" s="903"/>
      <c r="D103" s="903"/>
      <c r="E103" s="903"/>
      <c r="P103" s="846"/>
      <c r="R103" s="904"/>
      <c r="S103" s="904"/>
      <c r="T103" s="904"/>
      <c r="U103" s="904"/>
      <c r="V103" s="904"/>
      <c r="W103" s="904"/>
      <c r="X103" s="904"/>
      <c r="Y103" s="904"/>
    </row>
    <row r="104" spans="1:25" ht="12.75" customHeight="1" x14ac:dyDescent="0.2">
      <c r="A104" s="905"/>
      <c r="B104" s="903"/>
      <c r="C104" s="903"/>
      <c r="D104" s="903"/>
      <c r="E104" s="903"/>
      <c r="P104" s="846"/>
      <c r="R104" s="904"/>
      <c r="S104" s="904"/>
      <c r="T104" s="904"/>
      <c r="U104" s="904"/>
      <c r="V104" s="904"/>
      <c r="W104" s="904"/>
      <c r="X104" s="904"/>
      <c r="Y104" s="904"/>
    </row>
    <row r="105" spans="1:25" ht="12.75" customHeight="1" x14ac:dyDescent="0.2">
      <c r="A105" s="905"/>
      <c r="B105" s="903"/>
      <c r="C105" s="903"/>
      <c r="D105" s="903"/>
      <c r="E105" s="903"/>
      <c r="P105" s="846"/>
      <c r="R105" s="904"/>
      <c r="S105" s="904"/>
      <c r="T105" s="904"/>
      <c r="U105" s="904"/>
      <c r="V105" s="904"/>
      <c r="W105" s="904"/>
      <c r="X105" s="904"/>
      <c r="Y105" s="904"/>
    </row>
    <row r="106" spans="1:25" ht="12.75" customHeight="1" x14ac:dyDescent="0.2">
      <c r="A106" s="905"/>
      <c r="B106" s="903"/>
      <c r="C106" s="903"/>
      <c r="D106" s="903"/>
      <c r="E106" s="903"/>
      <c r="P106" s="846"/>
      <c r="R106" s="904"/>
      <c r="S106" s="904"/>
      <c r="T106" s="904"/>
      <c r="U106" s="904"/>
      <c r="V106" s="904"/>
      <c r="W106" s="904"/>
      <c r="X106" s="904"/>
      <c r="Y106" s="904"/>
    </row>
    <row r="107" spans="1:25" ht="12.75" customHeight="1" x14ac:dyDescent="0.2">
      <c r="A107" s="905"/>
      <c r="B107" s="903"/>
      <c r="C107" s="903"/>
      <c r="D107" s="903"/>
      <c r="E107" s="903"/>
      <c r="P107" s="846"/>
      <c r="R107" s="904"/>
      <c r="S107" s="904"/>
      <c r="T107" s="904"/>
      <c r="U107" s="904"/>
      <c r="V107" s="904"/>
      <c r="W107" s="904"/>
      <c r="X107" s="904"/>
      <c r="Y107" s="904"/>
    </row>
    <row r="108" spans="1:25" ht="12.75" customHeight="1" x14ac:dyDescent="0.2">
      <c r="A108" s="905"/>
      <c r="B108" s="903"/>
      <c r="C108" s="903"/>
      <c r="D108" s="903"/>
      <c r="E108" s="903"/>
      <c r="P108" s="846"/>
      <c r="R108" s="904"/>
      <c r="S108" s="904"/>
      <c r="T108" s="904"/>
      <c r="U108" s="904"/>
      <c r="V108" s="904"/>
      <c r="W108" s="904"/>
      <c r="X108" s="904"/>
      <c r="Y108" s="904"/>
    </row>
    <row r="109" spans="1:25" ht="12.75" customHeight="1" x14ac:dyDescent="0.2">
      <c r="A109" s="905"/>
      <c r="B109" s="903"/>
      <c r="C109" s="903"/>
      <c r="D109" s="903"/>
      <c r="E109" s="903"/>
      <c r="P109" s="846"/>
      <c r="R109" s="904"/>
      <c r="S109" s="904"/>
      <c r="T109" s="904"/>
      <c r="U109" s="904"/>
      <c r="V109" s="904"/>
      <c r="W109" s="904"/>
      <c r="X109" s="904"/>
      <c r="Y109" s="904"/>
    </row>
    <row r="110" spans="1:25" ht="12.75" customHeight="1" x14ac:dyDescent="0.2">
      <c r="A110" s="905"/>
      <c r="B110" s="903"/>
      <c r="C110" s="903"/>
      <c r="D110" s="903"/>
      <c r="E110" s="903"/>
      <c r="P110" s="846"/>
      <c r="R110" s="904"/>
      <c r="S110" s="904"/>
      <c r="T110" s="904"/>
      <c r="U110" s="904"/>
      <c r="V110" s="904"/>
      <c r="W110" s="904"/>
      <c r="X110" s="904"/>
      <c r="Y110" s="904"/>
    </row>
    <row r="111" spans="1:25" ht="12.75" customHeight="1" x14ac:dyDescent="0.2">
      <c r="A111" s="905"/>
      <c r="B111" s="903"/>
      <c r="C111" s="903"/>
      <c r="D111" s="903"/>
      <c r="E111" s="903"/>
      <c r="P111" s="846"/>
      <c r="R111" s="904"/>
      <c r="S111" s="904"/>
      <c r="T111" s="904"/>
      <c r="U111" s="904"/>
      <c r="V111" s="904"/>
      <c r="W111" s="904"/>
      <c r="X111" s="904"/>
      <c r="Y111" s="904"/>
    </row>
    <row r="112" spans="1:25" ht="12.75" customHeight="1" x14ac:dyDescent="0.2">
      <c r="A112" s="905"/>
      <c r="B112" s="903"/>
      <c r="C112" s="903"/>
      <c r="D112" s="903"/>
      <c r="E112" s="903"/>
      <c r="P112" s="846"/>
      <c r="R112" s="904"/>
      <c r="S112" s="904"/>
      <c r="T112" s="904"/>
      <c r="U112" s="904"/>
      <c r="V112" s="904"/>
      <c r="W112" s="904"/>
      <c r="X112" s="904"/>
      <c r="Y112" s="904"/>
    </row>
    <row r="113" spans="1:25" ht="12.75" customHeight="1" x14ac:dyDescent="0.2">
      <c r="A113" s="905"/>
      <c r="B113" s="903"/>
      <c r="C113" s="903"/>
      <c r="D113" s="903"/>
      <c r="E113" s="903"/>
      <c r="P113" s="846"/>
      <c r="R113" s="904"/>
      <c r="S113" s="904"/>
      <c r="T113" s="904"/>
      <c r="U113" s="904"/>
      <c r="V113" s="904"/>
      <c r="W113" s="904"/>
      <c r="X113" s="904"/>
      <c r="Y113" s="904"/>
    </row>
    <row r="114" spans="1:25" ht="12.75" customHeight="1" x14ac:dyDescent="0.2">
      <c r="A114" s="905"/>
      <c r="B114" s="903"/>
      <c r="C114" s="903"/>
      <c r="D114" s="903"/>
      <c r="E114" s="903"/>
      <c r="P114" s="846"/>
      <c r="R114" s="904"/>
      <c r="S114" s="904"/>
      <c r="T114" s="904"/>
      <c r="U114" s="904"/>
      <c r="V114" s="904"/>
      <c r="W114" s="904"/>
      <c r="X114" s="904"/>
      <c r="Y114" s="904"/>
    </row>
    <row r="115" spans="1:25" ht="12.75" customHeight="1" x14ac:dyDescent="0.2">
      <c r="A115" s="905"/>
      <c r="B115" s="903"/>
      <c r="C115" s="903"/>
      <c r="D115" s="903"/>
      <c r="E115" s="903"/>
      <c r="P115" s="846"/>
      <c r="R115" s="904"/>
      <c r="S115" s="904"/>
      <c r="T115" s="904"/>
      <c r="U115" s="904"/>
      <c r="V115" s="904"/>
      <c r="W115" s="904"/>
      <c r="X115" s="904"/>
      <c r="Y115" s="904"/>
    </row>
    <row r="116" spans="1:25" ht="12.75" customHeight="1" x14ac:dyDescent="0.2">
      <c r="A116" s="905"/>
      <c r="B116" s="903"/>
      <c r="C116" s="903"/>
      <c r="D116" s="903"/>
      <c r="E116" s="903"/>
      <c r="P116" s="846"/>
      <c r="R116" s="904"/>
      <c r="S116" s="904"/>
      <c r="T116" s="904"/>
      <c r="U116" s="904"/>
      <c r="V116" s="904"/>
      <c r="W116" s="904"/>
      <c r="X116" s="904"/>
      <c r="Y116" s="904"/>
    </row>
    <row r="117" spans="1:25" ht="12.75" customHeight="1" x14ac:dyDescent="0.2">
      <c r="A117" s="905"/>
      <c r="B117" s="903"/>
      <c r="C117" s="903"/>
      <c r="D117" s="903"/>
      <c r="E117" s="903"/>
      <c r="P117" s="846"/>
      <c r="R117" s="904"/>
      <c r="S117" s="904"/>
      <c r="T117" s="904"/>
      <c r="U117" s="904"/>
      <c r="V117" s="904"/>
      <c r="W117" s="904"/>
      <c r="X117" s="904"/>
      <c r="Y117" s="904"/>
    </row>
    <row r="118" spans="1:25" ht="12.75" customHeight="1" x14ac:dyDescent="0.2">
      <c r="A118" s="905"/>
      <c r="B118" s="903"/>
      <c r="C118" s="903"/>
      <c r="D118" s="903"/>
      <c r="E118" s="903"/>
      <c r="P118" s="846"/>
      <c r="R118" s="904"/>
      <c r="S118" s="904"/>
      <c r="T118" s="904"/>
      <c r="U118" s="904"/>
      <c r="V118" s="904"/>
      <c r="W118" s="904"/>
      <c r="X118" s="904"/>
      <c r="Y118" s="904"/>
    </row>
    <row r="119" spans="1:25" ht="12.75" customHeight="1" x14ac:dyDescent="0.2">
      <c r="A119" s="903"/>
      <c r="B119" s="903"/>
      <c r="C119" s="903"/>
      <c r="D119" s="903"/>
      <c r="E119" s="903"/>
      <c r="P119" s="846"/>
      <c r="R119" s="904"/>
      <c r="S119" s="904"/>
      <c r="T119" s="904"/>
      <c r="U119" s="904"/>
      <c r="V119" s="904"/>
      <c r="W119" s="904"/>
      <c r="X119" s="904"/>
      <c r="Y119" s="904"/>
    </row>
    <row r="120" spans="1:25" ht="12.75" customHeight="1" x14ac:dyDescent="0.2">
      <c r="A120" s="903"/>
      <c r="B120" s="903"/>
      <c r="C120" s="903"/>
      <c r="D120" s="903"/>
      <c r="E120" s="903"/>
      <c r="P120" s="846"/>
      <c r="R120" s="904"/>
      <c r="S120" s="904"/>
      <c r="T120" s="904"/>
      <c r="U120" s="904"/>
      <c r="V120" s="904"/>
      <c r="W120" s="904"/>
      <c r="X120" s="904"/>
      <c r="Y120" s="904"/>
    </row>
    <row r="121" spans="1:25" ht="12.75" customHeight="1" x14ac:dyDescent="0.2">
      <c r="A121" s="903"/>
      <c r="B121" s="903"/>
      <c r="C121" s="903"/>
      <c r="D121" s="903"/>
      <c r="E121" s="903"/>
      <c r="P121" s="846"/>
      <c r="R121" s="904"/>
      <c r="S121" s="904"/>
      <c r="T121" s="904"/>
      <c r="U121" s="904"/>
      <c r="V121" s="904"/>
      <c r="W121" s="904"/>
      <c r="X121" s="904"/>
      <c r="Y121" s="904"/>
    </row>
    <row r="122" spans="1:25" ht="12.75" customHeight="1" x14ac:dyDescent="0.2">
      <c r="A122" s="903"/>
      <c r="B122" s="903"/>
      <c r="C122" s="903"/>
      <c r="D122" s="903"/>
      <c r="E122" s="903"/>
      <c r="P122" s="846"/>
      <c r="R122" s="904"/>
      <c r="S122" s="904"/>
      <c r="T122" s="904"/>
      <c r="U122" s="904"/>
      <c r="V122" s="904"/>
      <c r="W122" s="904"/>
      <c r="X122" s="904"/>
      <c r="Y122" s="904"/>
    </row>
    <row r="123" spans="1:25" ht="12.75" customHeight="1" x14ac:dyDescent="0.2">
      <c r="A123" s="903"/>
      <c r="B123" s="903"/>
      <c r="C123" s="903"/>
      <c r="D123" s="903"/>
      <c r="E123" s="903"/>
      <c r="P123" s="846"/>
      <c r="R123" s="904"/>
      <c r="S123" s="904"/>
      <c r="T123" s="904"/>
      <c r="U123" s="904"/>
      <c r="V123" s="904"/>
      <c r="W123" s="904"/>
      <c r="X123" s="904"/>
      <c r="Y123" s="904"/>
    </row>
    <row r="124" spans="1:25" ht="12.75" customHeight="1" x14ac:dyDescent="0.2">
      <c r="A124" s="903"/>
      <c r="B124" s="903"/>
      <c r="C124" s="903"/>
      <c r="D124" s="903"/>
      <c r="E124" s="903"/>
      <c r="P124" s="846"/>
      <c r="R124" s="904"/>
      <c r="S124" s="904"/>
      <c r="T124" s="904"/>
      <c r="U124" s="904"/>
      <c r="V124" s="904"/>
      <c r="W124" s="904"/>
      <c r="X124" s="904"/>
      <c r="Y124" s="904"/>
    </row>
    <row r="125" spans="1:25" ht="12.75" customHeight="1" x14ac:dyDescent="0.2">
      <c r="A125" s="903"/>
      <c r="B125" s="903"/>
      <c r="C125" s="903"/>
      <c r="D125" s="903"/>
      <c r="E125" s="903"/>
      <c r="P125" s="846"/>
      <c r="R125" s="904"/>
      <c r="S125" s="904"/>
      <c r="T125" s="904"/>
      <c r="U125" s="904"/>
      <c r="V125" s="904"/>
      <c r="W125" s="904"/>
      <c r="X125" s="904"/>
      <c r="Y125" s="904"/>
    </row>
    <row r="126" spans="1:25" ht="12.75" customHeight="1" x14ac:dyDescent="0.2">
      <c r="A126" s="903"/>
      <c r="B126" s="903"/>
      <c r="C126" s="903"/>
      <c r="D126" s="903"/>
      <c r="E126" s="903"/>
      <c r="P126" s="846"/>
      <c r="R126" s="904"/>
      <c r="S126" s="904"/>
      <c r="T126" s="904"/>
      <c r="U126" s="904"/>
      <c r="V126" s="904"/>
      <c r="W126" s="904"/>
      <c r="X126" s="904"/>
      <c r="Y126" s="904"/>
    </row>
    <row r="127" spans="1:25" ht="12.75" customHeight="1" x14ac:dyDescent="0.2">
      <c r="A127" s="903"/>
      <c r="B127" s="903"/>
      <c r="C127" s="903"/>
      <c r="D127" s="903"/>
      <c r="E127" s="903"/>
      <c r="P127" s="846"/>
      <c r="R127" s="904"/>
      <c r="S127" s="904"/>
      <c r="T127" s="904"/>
      <c r="U127" s="904"/>
      <c r="V127" s="904"/>
      <c r="W127" s="904"/>
      <c r="X127" s="904"/>
      <c r="Y127" s="904"/>
    </row>
    <row r="128" spans="1:25" x14ac:dyDescent="0.2">
      <c r="A128" s="903"/>
      <c r="B128" s="903"/>
      <c r="C128" s="903"/>
      <c r="D128" s="903"/>
      <c r="E128" s="903"/>
      <c r="P128" s="846"/>
      <c r="R128" s="904"/>
      <c r="S128" s="904"/>
      <c r="T128" s="904"/>
      <c r="U128" s="904"/>
      <c r="V128" s="904"/>
      <c r="W128" s="904"/>
      <c r="X128" s="904"/>
      <c r="Y128" s="904"/>
    </row>
    <row r="129" spans="1:25" x14ac:dyDescent="0.2">
      <c r="A129" s="903"/>
      <c r="B129" s="903"/>
      <c r="C129" s="903"/>
      <c r="D129" s="903"/>
      <c r="E129" s="903"/>
      <c r="P129" s="846"/>
      <c r="R129" s="904"/>
      <c r="S129" s="904"/>
      <c r="T129" s="904"/>
      <c r="U129" s="904"/>
      <c r="V129" s="904"/>
      <c r="W129" s="904"/>
      <c r="X129" s="904"/>
      <c r="Y129" s="904"/>
    </row>
    <row r="130" spans="1:25" x14ac:dyDescent="0.2">
      <c r="A130" s="903"/>
      <c r="B130" s="903"/>
      <c r="C130" s="903"/>
      <c r="D130" s="903"/>
      <c r="E130" s="903"/>
      <c r="P130" s="846"/>
      <c r="R130" s="904"/>
      <c r="S130" s="904"/>
      <c r="T130" s="904"/>
      <c r="U130" s="904"/>
      <c r="V130" s="904"/>
      <c r="W130" s="904"/>
      <c r="X130" s="904"/>
      <c r="Y130" s="904"/>
    </row>
    <row r="131" spans="1:25" x14ac:dyDescent="0.2">
      <c r="A131" s="903"/>
      <c r="B131" s="903"/>
      <c r="C131" s="903"/>
      <c r="D131" s="903"/>
      <c r="E131" s="903"/>
      <c r="P131" s="846"/>
      <c r="R131" s="904"/>
      <c r="S131" s="904"/>
      <c r="T131" s="904"/>
      <c r="U131" s="904"/>
      <c r="V131" s="904"/>
      <c r="W131" s="904"/>
      <c r="X131" s="904"/>
      <c r="Y131" s="904"/>
    </row>
    <row r="132" spans="1:25" x14ac:dyDescent="0.2">
      <c r="A132" s="903"/>
      <c r="B132" s="903"/>
      <c r="C132" s="903"/>
      <c r="D132" s="903"/>
      <c r="E132" s="903"/>
      <c r="P132" s="846"/>
      <c r="R132" s="904"/>
      <c r="S132" s="904"/>
      <c r="T132" s="904"/>
      <c r="U132" s="904"/>
      <c r="V132" s="904"/>
      <c r="W132" s="904"/>
      <c r="X132" s="904"/>
      <c r="Y132" s="904"/>
    </row>
    <row r="133" spans="1:25" x14ac:dyDescent="0.2">
      <c r="A133" s="903"/>
      <c r="B133" s="903"/>
      <c r="C133" s="903"/>
      <c r="D133" s="903"/>
      <c r="E133" s="903"/>
      <c r="P133" s="846"/>
      <c r="R133" s="904"/>
      <c r="S133" s="904"/>
      <c r="T133" s="904"/>
      <c r="U133" s="904"/>
      <c r="V133" s="904"/>
      <c r="W133" s="904"/>
      <c r="X133" s="904"/>
      <c r="Y133" s="904"/>
    </row>
    <row r="134" spans="1:25" x14ac:dyDescent="0.2">
      <c r="A134" s="903"/>
      <c r="B134" s="903"/>
      <c r="C134" s="903"/>
      <c r="D134" s="903"/>
      <c r="E134" s="903"/>
      <c r="P134" s="846"/>
      <c r="R134" s="904"/>
      <c r="S134" s="904"/>
      <c r="T134" s="904"/>
      <c r="U134" s="904"/>
      <c r="V134" s="904"/>
      <c r="W134" s="904"/>
      <c r="X134" s="904"/>
      <c r="Y134" s="904"/>
    </row>
    <row r="135" spans="1:25" x14ac:dyDescent="0.2">
      <c r="A135" s="903"/>
      <c r="B135" s="903"/>
      <c r="C135" s="903"/>
      <c r="D135" s="903"/>
      <c r="E135" s="903"/>
      <c r="P135" s="846"/>
      <c r="R135" s="904"/>
      <c r="S135" s="904"/>
      <c r="T135" s="904"/>
      <c r="U135" s="904"/>
      <c r="V135" s="904"/>
      <c r="W135" s="904"/>
      <c r="X135" s="904"/>
      <c r="Y135" s="904"/>
    </row>
    <row r="136" spans="1:25" x14ac:dyDescent="0.2">
      <c r="A136" s="903"/>
      <c r="B136" s="903"/>
      <c r="C136" s="903"/>
      <c r="D136" s="903"/>
      <c r="E136" s="903"/>
      <c r="P136" s="846"/>
      <c r="R136" s="904"/>
      <c r="S136" s="904"/>
      <c r="T136" s="904"/>
      <c r="U136" s="904"/>
      <c r="V136" s="904"/>
      <c r="W136" s="904"/>
      <c r="X136" s="904"/>
      <c r="Y136" s="904"/>
    </row>
    <row r="137" spans="1:25" x14ac:dyDescent="0.2">
      <c r="A137" s="903"/>
      <c r="B137" s="903"/>
      <c r="C137" s="903"/>
      <c r="D137" s="903"/>
      <c r="E137" s="903"/>
      <c r="P137" s="846"/>
      <c r="R137" s="904"/>
      <c r="S137" s="904"/>
      <c r="T137" s="904"/>
      <c r="U137" s="904"/>
      <c r="V137" s="904"/>
      <c r="W137" s="904"/>
      <c r="X137" s="904"/>
      <c r="Y137" s="904"/>
    </row>
    <row r="138" spans="1:25" x14ac:dyDescent="0.2">
      <c r="A138" s="903"/>
      <c r="B138" s="903"/>
      <c r="C138" s="903"/>
      <c r="D138" s="903"/>
      <c r="E138" s="903"/>
      <c r="P138" s="846"/>
      <c r="R138" s="904"/>
      <c r="S138" s="904"/>
      <c r="T138" s="904"/>
      <c r="U138" s="904"/>
      <c r="V138" s="904"/>
      <c r="W138" s="904"/>
      <c r="X138" s="904"/>
      <c r="Y138" s="904"/>
    </row>
    <row r="139" spans="1:25" x14ac:dyDescent="0.2">
      <c r="A139" s="903"/>
      <c r="B139" s="903"/>
      <c r="C139" s="903"/>
      <c r="D139" s="903"/>
      <c r="E139" s="903"/>
      <c r="P139" s="846"/>
      <c r="R139" s="904"/>
      <c r="S139" s="904"/>
      <c r="T139" s="904"/>
      <c r="U139" s="904"/>
      <c r="V139" s="904"/>
      <c r="W139" s="904"/>
      <c r="X139" s="904"/>
      <c r="Y139" s="904"/>
    </row>
    <row r="140" spans="1:25" x14ac:dyDescent="0.2">
      <c r="A140" s="903"/>
      <c r="B140" s="903"/>
      <c r="C140" s="903"/>
      <c r="D140" s="903"/>
      <c r="E140" s="903"/>
      <c r="P140" s="846"/>
      <c r="R140" s="904"/>
      <c r="S140" s="904"/>
      <c r="T140" s="904"/>
      <c r="U140" s="904"/>
      <c r="V140" s="904"/>
      <c r="W140" s="904"/>
      <c r="X140" s="904"/>
      <c r="Y140" s="904"/>
    </row>
    <row r="141" spans="1:25" x14ac:dyDescent="0.2">
      <c r="A141" s="903"/>
      <c r="B141" s="903"/>
      <c r="C141" s="903"/>
      <c r="D141" s="903"/>
      <c r="E141" s="903"/>
      <c r="P141" s="846"/>
      <c r="R141" s="904"/>
      <c r="S141" s="904"/>
      <c r="T141" s="904"/>
      <c r="U141" s="904"/>
      <c r="V141" s="904"/>
      <c r="W141" s="904"/>
      <c r="X141" s="904"/>
      <c r="Y141" s="904"/>
    </row>
    <row r="142" spans="1:25" x14ac:dyDescent="0.2">
      <c r="A142" s="903"/>
      <c r="B142" s="903"/>
      <c r="C142" s="903"/>
      <c r="D142" s="903"/>
      <c r="E142" s="903"/>
      <c r="P142" s="846"/>
      <c r="R142" s="904"/>
      <c r="S142" s="904"/>
      <c r="T142" s="904"/>
      <c r="U142" s="904"/>
      <c r="V142" s="904"/>
      <c r="W142" s="904"/>
      <c r="X142" s="904"/>
      <c r="Y142" s="904"/>
    </row>
    <row r="143" spans="1:25" x14ac:dyDescent="0.2">
      <c r="A143" s="903"/>
      <c r="B143" s="903"/>
      <c r="C143" s="903"/>
      <c r="D143" s="903"/>
      <c r="E143" s="903"/>
      <c r="P143" s="846"/>
      <c r="R143" s="904"/>
      <c r="S143" s="904"/>
      <c r="T143" s="904"/>
      <c r="U143" s="904"/>
      <c r="V143" s="904"/>
      <c r="W143" s="904"/>
      <c r="X143" s="904"/>
      <c r="Y143" s="904"/>
    </row>
    <row r="144" spans="1:25" x14ac:dyDescent="0.2">
      <c r="A144" s="903"/>
      <c r="B144" s="903"/>
      <c r="C144" s="903"/>
      <c r="D144" s="903"/>
      <c r="E144" s="903"/>
      <c r="P144" s="846"/>
      <c r="R144" s="904"/>
      <c r="S144" s="904"/>
      <c r="T144" s="904"/>
      <c r="U144" s="904"/>
      <c r="V144" s="904"/>
      <c r="W144" s="904"/>
      <c r="X144" s="904"/>
      <c r="Y144" s="904"/>
    </row>
    <row r="145" spans="1:25" x14ac:dyDescent="0.2">
      <c r="A145" s="903"/>
      <c r="B145" s="903"/>
      <c r="C145" s="903"/>
      <c r="D145" s="903"/>
      <c r="E145" s="903"/>
      <c r="P145" s="846"/>
      <c r="R145" s="904"/>
      <c r="S145" s="904"/>
      <c r="T145" s="904"/>
      <c r="U145" s="904"/>
      <c r="V145" s="904"/>
      <c r="W145" s="904"/>
      <c r="X145" s="904"/>
      <c r="Y145" s="904"/>
    </row>
    <row r="146" spans="1:25" x14ac:dyDescent="0.2">
      <c r="A146" s="903"/>
      <c r="B146" s="903"/>
      <c r="C146" s="903"/>
      <c r="D146" s="903"/>
      <c r="E146" s="903"/>
      <c r="P146" s="846"/>
      <c r="R146" s="904"/>
      <c r="S146" s="904"/>
      <c r="T146" s="904"/>
      <c r="U146" s="904"/>
      <c r="V146" s="904"/>
      <c r="W146" s="904"/>
      <c r="X146" s="904"/>
      <c r="Y146" s="904"/>
    </row>
    <row r="147" spans="1:25" x14ac:dyDescent="0.2">
      <c r="A147" s="903"/>
      <c r="B147" s="903"/>
      <c r="C147" s="903"/>
      <c r="D147" s="903"/>
      <c r="E147" s="903"/>
      <c r="P147" s="846"/>
      <c r="R147" s="904"/>
      <c r="S147" s="904"/>
      <c r="T147" s="904"/>
      <c r="U147" s="904"/>
      <c r="V147" s="904"/>
      <c r="W147" s="904"/>
      <c r="X147" s="904"/>
      <c r="Y147" s="904"/>
    </row>
    <row r="148" spans="1:25" x14ac:dyDescent="0.2">
      <c r="A148" s="903"/>
      <c r="B148" s="903"/>
      <c r="C148" s="903"/>
      <c r="D148" s="903"/>
      <c r="E148" s="903"/>
      <c r="P148" s="846"/>
      <c r="R148" s="904"/>
      <c r="S148" s="904"/>
      <c r="T148" s="904"/>
      <c r="U148" s="904"/>
      <c r="V148" s="904"/>
      <c r="W148" s="904"/>
      <c r="X148" s="904"/>
      <c r="Y148" s="904"/>
    </row>
    <row r="149" spans="1:25" x14ac:dyDescent="0.2">
      <c r="A149" s="903"/>
      <c r="B149" s="903"/>
      <c r="C149" s="903"/>
      <c r="D149" s="903"/>
      <c r="E149" s="903"/>
      <c r="P149" s="846"/>
      <c r="R149" s="904"/>
      <c r="S149" s="904"/>
      <c r="T149" s="904"/>
      <c r="U149" s="904"/>
      <c r="V149" s="904"/>
      <c r="W149" s="904"/>
      <c r="X149" s="904"/>
      <c r="Y149" s="904"/>
    </row>
    <row r="150" spans="1:25" x14ac:dyDescent="0.2">
      <c r="A150" s="903"/>
      <c r="B150" s="903"/>
      <c r="C150" s="903"/>
      <c r="D150" s="903"/>
      <c r="E150" s="903"/>
      <c r="P150" s="846"/>
      <c r="R150" s="904"/>
      <c r="S150" s="904"/>
      <c r="T150" s="904"/>
      <c r="U150" s="904"/>
      <c r="V150" s="904"/>
      <c r="W150" s="904"/>
      <c r="X150" s="904"/>
      <c r="Y150" s="904"/>
    </row>
    <row r="151" spans="1:25" x14ac:dyDescent="0.2">
      <c r="A151" s="903"/>
      <c r="B151" s="903"/>
      <c r="C151" s="903"/>
      <c r="D151" s="903"/>
      <c r="E151" s="903"/>
      <c r="P151" s="846"/>
      <c r="R151" s="904"/>
      <c r="S151" s="904"/>
      <c r="T151" s="904"/>
      <c r="U151" s="904"/>
      <c r="V151" s="904"/>
      <c r="W151" s="904"/>
      <c r="X151" s="904"/>
      <c r="Y151" s="904"/>
    </row>
    <row r="152" spans="1:25" x14ac:dyDescent="0.2">
      <c r="A152" s="903"/>
      <c r="B152" s="903"/>
      <c r="C152" s="903"/>
      <c r="D152" s="903"/>
      <c r="E152" s="903"/>
      <c r="P152" s="846"/>
      <c r="R152" s="904"/>
      <c r="S152" s="904"/>
      <c r="T152" s="904"/>
      <c r="U152" s="904"/>
      <c r="V152" s="904"/>
      <c r="W152" s="904"/>
      <c r="X152" s="904"/>
      <c r="Y152" s="904"/>
    </row>
    <row r="153" spans="1:25" x14ac:dyDescent="0.2">
      <c r="A153" s="903"/>
      <c r="B153" s="903"/>
      <c r="C153" s="903"/>
      <c r="D153" s="903"/>
      <c r="E153" s="903"/>
      <c r="P153" s="846"/>
      <c r="R153" s="904"/>
      <c r="S153" s="904"/>
      <c r="T153" s="904"/>
      <c r="U153" s="904"/>
      <c r="V153" s="904"/>
      <c r="W153" s="904"/>
      <c r="X153" s="904"/>
      <c r="Y153" s="904"/>
    </row>
    <row r="154" spans="1:25" x14ac:dyDescent="0.2">
      <c r="A154" s="903"/>
      <c r="B154" s="903"/>
      <c r="C154" s="903"/>
      <c r="D154" s="903"/>
      <c r="E154" s="903"/>
      <c r="P154" s="846"/>
      <c r="R154" s="904"/>
      <c r="S154" s="904"/>
      <c r="T154" s="904"/>
      <c r="U154" s="904"/>
      <c r="V154" s="904"/>
      <c r="W154" s="904"/>
      <c r="X154" s="904"/>
      <c r="Y154" s="904"/>
    </row>
    <row r="155" spans="1:25" x14ac:dyDescent="0.2">
      <c r="A155" s="903"/>
      <c r="B155" s="903"/>
      <c r="C155" s="903"/>
      <c r="D155" s="903"/>
      <c r="E155" s="903"/>
      <c r="P155" s="846"/>
      <c r="R155" s="904"/>
      <c r="S155" s="904"/>
      <c r="T155" s="904"/>
      <c r="U155" s="904"/>
      <c r="V155" s="904"/>
      <c r="W155" s="904"/>
      <c r="X155" s="904"/>
      <c r="Y155" s="904"/>
    </row>
    <row r="156" spans="1:25" x14ac:dyDescent="0.2">
      <c r="A156" s="903"/>
      <c r="B156" s="903"/>
      <c r="C156" s="903"/>
      <c r="D156" s="903"/>
      <c r="E156" s="903"/>
      <c r="P156" s="846"/>
      <c r="R156" s="904"/>
      <c r="S156" s="904"/>
      <c r="T156" s="904"/>
      <c r="U156" s="904"/>
      <c r="V156" s="904"/>
      <c r="W156" s="904"/>
      <c r="X156" s="904"/>
      <c r="Y156" s="904"/>
    </row>
    <row r="157" spans="1:25" x14ac:dyDescent="0.2">
      <c r="A157" s="903"/>
      <c r="B157" s="903"/>
      <c r="C157" s="903"/>
      <c r="D157" s="903"/>
      <c r="E157" s="903"/>
      <c r="P157" s="846"/>
      <c r="R157" s="904"/>
      <c r="S157" s="904"/>
      <c r="T157" s="904"/>
      <c r="U157" s="904"/>
      <c r="V157" s="904"/>
      <c r="W157" s="904"/>
      <c r="X157" s="904"/>
      <c r="Y157" s="904"/>
    </row>
    <row r="158" spans="1:25" x14ac:dyDescent="0.2">
      <c r="A158" s="903"/>
      <c r="B158" s="903"/>
      <c r="C158" s="903"/>
      <c r="D158" s="903"/>
      <c r="E158" s="903"/>
      <c r="P158" s="846"/>
      <c r="R158" s="904"/>
      <c r="S158" s="904"/>
      <c r="T158" s="904"/>
      <c r="U158" s="904"/>
      <c r="V158" s="904"/>
      <c r="W158" s="904"/>
      <c r="X158" s="904"/>
      <c r="Y158" s="904"/>
    </row>
    <row r="159" spans="1:25" x14ac:dyDescent="0.2">
      <c r="A159" s="903"/>
      <c r="B159" s="903"/>
      <c r="C159" s="903"/>
      <c r="D159" s="903"/>
      <c r="E159" s="903"/>
      <c r="P159" s="846"/>
      <c r="R159" s="904"/>
      <c r="S159" s="904"/>
      <c r="T159" s="904"/>
      <c r="U159" s="904"/>
      <c r="V159" s="904"/>
      <c r="W159" s="904"/>
      <c r="X159" s="904"/>
      <c r="Y159" s="904"/>
    </row>
    <row r="160" spans="1:25" x14ac:dyDescent="0.2">
      <c r="A160" s="903"/>
      <c r="B160" s="903"/>
      <c r="C160" s="903"/>
      <c r="D160" s="903"/>
      <c r="E160" s="903"/>
      <c r="P160" s="846"/>
      <c r="R160" s="904"/>
      <c r="S160" s="904"/>
      <c r="T160" s="904"/>
      <c r="U160" s="904"/>
      <c r="V160" s="904"/>
      <c r="W160" s="904"/>
      <c r="X160" s="904"/>
      <c r="Y160" s="904"/>
    </row>
    <row r="161" spans="1:25" x14ac:dyDescent="0.2">
      <c r="A161" s="903"/>
      <c r="B161" s="903"/>
      <c r="C161" s="903"/>
      <c r="D161" s="903"/>
      <c r="E161" s="903"/>
      <c r="P161" s="846"/>
      <c r="R161" s="904"/>
      <c r="S161" s="904"/>
      <c r="T161" s="904"/>
      <c r="U161" s="904"/>
      <c r="V161" s="904"/>
      <c r="W161" s="904"/>
      <c r="X161" s="904"/>
      <c r="Y161" s="904"/>
    </row>
    <row r="162" spans="1:25" x14ac:dyDescent="0.2">
      <c r="A162" s="903"/>
      <c r="B162" s="903"/>
      <c r="C162" s="903"/>
      <c r="D162" s="903"/>
      <c r="E162" s="903"/>
      <c r="P162" s="846"/>
      <c r="R162" s="904"/>
      <c r="S162" s="904"/>
      <c r="T162" s="904"/>
      <c r="U162" s="904"/>
      <c r="V162" s="904"/>
      <c r="W162" s="904"/>
      <c r="X162" s="904"/>
      <c r="Y162" s="904"/>
    </row>
    <row r="163" spans="1:25" x14ac:dyDescent="0.2">
      <c r="A163" s="903"/>
      <c r="B163" s="903"/>
      <c r="C163" s="903"/>
      <c r="D163" s="903"/>
      <c r="E163" s="903"/>
      <c r="P163" s="846"/>
      <c r="R163" s="904"/>
      <c r="S163" s="904"/>
      <c r="T163" s="904"/>
      <c r="U163" s="904"/>
      <c r="V163" s="904"/>
      <c r="W163" s="904"/>
      <c r="X163" s="904"/>
      <c r="Y163" s="904"/>
    </row>
    <row r="164" spans="1:25" x14ac:dyDescent="0.2">
      <c r="A164" s="903"/>
      <c r="B164" s="903"/>
      <c r="C164" s="903"/>
      <c r="D164" s="903"/>
      <c r="E164" s="903"/>
      <c r="P164" s="846"/>
      <c r="R164" s="904"/>
      <c r="S164" s="904"/>
      <c r="T164" s="904"/>
      <c r="U164" s="904"/>
      <c r="V164" s="904"/>
      <c r="W164" s="904"/>
      <c r="X164" s="904"/>
      <c r="Y164" s="904"/>
    </row>
    <row r="165" spans="1:25" x14ac:dyDescent="0.2">
      <c r="A165" s="903"/>
      <c r="B165" s="903"/>
      <c r="C165" s="903"/>
      <c r="D165" s="903"/>
      <c r="E165" s="903"/>
      <c r="P165" s="846"/>
      <c r="R165" s="904"/>
      <c r="S165" s="904"/>
      <c r="T165" s="904"/>
      <c r="U165" s="904"/>
      <c r="V165" s="904"/>
      <c r="W165" s="904"/>
      <c r="X165" s="904"/>
      <c r="Y165" s="904"/>
    </row>
    <row r="166" spans="1:25" x14ac:dyDescent="0.2">
      <c r="A166" s="903"/>
      <c r="B166" s="903"/>
      <c r="C166" s="903"/>
      <c r="D166" s="903"/>
      <c r="E166" s="903"/>
      <c r="P166" s="846"/>
      <c r="R166" s="904"/>
      <c r="S166" s="904"/>
      <c r="T166" s="904"/>
      <c r="U166" s="904"/>
      <c r="V166" s="904"/>
      <c r="W166" s="904"/>
      <c r="X166" s="904"/>
      <c r="Y166" s="904"/>
    </row>
    <row r="167" spans="1:25" x14ac:dyDescent="0.2">
      <c r="A167" s="903"/>
      <c r="B167" s="903"/>
      <c r="C167" s="903"/>
      <c r="D167" s="903"/>
      <c r="E167" s="903"/>
      <c r="P167" s="846"/>
      <c r="R167" s="904"/>
      <c r="S167" s="904"/>
      <c r="T167" s="904"/>
      <c r="U167" s="904"/>
      <c r="V167" s="904"/>
      <c r="W167" s="904"/>
      <c r="X167" s="904"/>
      <c r="Y167" s="904"/>
    </row>
    <row r="168" spans="1:25" x14ac:dyDescent="0.2">
      <c r="A168" s="903"/>
      <c r="B168" s="903"/>
      <c r="C168" s="903"/>
      <c r="D168" s="903"/>
      <c r="E168" s="903"/>
      <c r="P168" s="846"/>
      <c r="R168" s="904"/>
      <c r="S168" s="904"/>
      <c r="T168" s="904"/>
      <c r="U168" s="904"/>
      <c r="V168" s="904"/>
      <c r="W168" s="904"/>
      <c r="X168" s="904"/>
      <c r="Y168" s="904"/>
    </row>
    <row r="169" spans="1:25" x14ac:dyDescent="0.2">
      <c r="A169" s="903"/>
      <c r="B169" s="903"/>
      <c r="C169" s="903"/>
      <c r="D169" s="903"/>
      <c r="E169" s="903"/>
      <c r="P169" s="846"/>
      <c r="R169" s="904"/>
      <c r="S169" s="904"/>
      <c r="T169" s="904"/>
      <c r="U169" s="904"/>
      <c r="V169" s="904"/>
      <c r="W169" s="904"/>
      <c r="X169" s="904"/>
      <c r="Y169" s="904"/>
    </row>
    <row r="170" spans="1:25" x14ac:dyDescent="0.2">
      <c r="A170" s="903"/>
      <c r="B170" s="903"/>
      <c r="C170" s="903"/>
      <c r="D170" s="903"/>
      <c r="E170" s="903"/>
      <c r="P170" s="846"/>
      <c r="R170" s="904"/>
      <c r="S170" s="904"/>
      <c r="T170" s="904"/>
      <c r="U170" s="904"/>
      <c r="V170" s="904"/>
      <c r="W170" s="904"/>
      <c r="X170" s="904"/>
      <c r="Y170" s="904"/>
    </row>
    <row r="171" spans="1:25" x14ac:dyDescent="0.2">
      <c r="A171" s="903"/>
      <c r="B171" s="903"/>
      <c r="C171" s="903"/>
      <c r="D171" s="903"/>
      <c r="E171" s="903"/>
      <c r="P171" s="846"/>
      <c r="R171" s="904"/>
      <c r="S171" s="904"/>
      <c r="T171" s="904"/>
      <c r="U171" s="904"/>
      <c r="V171" s="904"/>
      <c r="W171" s="904"/>
      <c r="X171" s="904"/>
      <c r="Y171" s="904"/>
    </row>
    <row r="172" spans="1:25" x14ac:dyDescent="0.2">
      <c r="A172" s="903"/>
      <c r="B172" s="903"/>
      <c r="C172" s="903"/>
      <c r="D172" s="903"/>
      <c r="E172" s="903"/>
      <c r="P172" s="846"/>
      <c r="R172" s="904"/>
      <c r="S172" s="904"/>
      <c r="T172" s="904"/>
      <c r="U172" s="904"/>
      <c r="V172" s="904"/>
      <c r="W172" s="904"/>
      <c r="X172" s="904"/>
      <c r="Y172" s="904"/>
    </row>
    <row r="173" spans="1:25" x14ac:dyDescent="0.2">
      <c r="A173" s="903"/>
      <c r="B173" s="903"/>
      <c r="C173" s="903"/>
      <c r="D173" s="903"/>
      <c r="E173" s="903"/>
      <c r="P173" s="846"/>
      <c r="R173" s="904"/>
      <c r="S173" s="904"/>
      <c r="T173" s="904"/>
      <c r="U173" s="904"/>
      <c r="V173" s="904"/>
      <c r="W173" s="904"/>
      <c r="X173" s="904"/>
      <c r="Y173" s="904"/>
    </row>
    <row r="174" spans="1:25" x14ac:dyDescent="0.2">
      <c r="A174" s="903"/>
      <c r="B174" s="903"/>
      <c r="C174" s="903"/>
      <c r="D174" s="903"/>
      <c r="E174" s="903"/>
      <c r="P174" s="846"/>
      <c r="R174" s="904"/>
      <c r="S174" s="904"/>
      <c r="T174" s="904"/>
      <c r="U174" s="904"/>
      <c r="V174" s="904"/>
      <c r="W174" s="904"/>
      <c r="X174" s="904"/>
      <c r="Y174" s="904"/>
    </row>
    <row r="175" spans="1:25" x14ac:dyDescent="0.2">
      <c r="A175" s="903"/>
      <c r="B175" s="903"/>
      <c r="C175" s="903"/>
      <c r="D175" s="903"/>
      <c r="E175" s="903"/>
      <c r="P175" s="846"/>
      <c r="R175" s="904"/>
      <c r="S175" s="904"/>
      <c r="T175" s="904"/>
      <c r="U175" s="904"/>
      <c r="V175" s="904"/>
      <c r="W175" s="904"/>
      <c r="X175" s="904"/>
      <c r="Y175" s="904"/>
    </row>
    <row r="176" spans="1:25" x14ac:dyDescent="0.2">
      <c r="A176" s="903"/>
      <c r="B176" s="903"/>
      <c r="C176" s="903"/>
      <c r="D176" s="903"/>
      <c r="E176" s="903"/>
      <c r="P176" s="846"/>
      <c r="R176" s="904"/>
      <c r="S176" s="904"/>
      <c r="T176" s="904"/>
      <c r="U176" s="904"/>
      <c r="V176" s="904"/>
      <c r="W176" s="904"/>
      <c r="X176" s="904"/>
      <c r="Y176" s="904"/>
    </row>
    <row r="177" spans="1:25" x14ac:dyDescent="0.2">
      <c r="A177" s="903"/>
      <c r="B177" s="903"/>
      <c r="C177" s="903"/>
      <c r="D177" s="903"/>
      <c r="E177" s="903"/>
      <c r="P177" s="846"/>
      <c r="R177" s="904"/>
      <c r="S177" s="904"/>
      <c r="T177" s="904"/>
      <c r="U177" s="904"/>
      <c r="V177" s="904"/>
      <c r="W177" s="904"/>
      <c r="X177" s="904"/>
      <c r="Y177" s="904"/>
    </row>
    <row r="178" spans="1:25" x14ac:dyDescent="0.2">
      <c r="A178" s="903"/>
      <c r="B178" s="903"/>
      <c r="C178" s="903"/>
      <c r="D178" s="903"/>
      <c r="E178" s="903"/>
      <c r="P178" s="846"/>
      <c r="R178" s="904"/>
      <c r="S178" s="904"/>
      <c r="T178" s="904"/>
      <c r="U178" s="904"/>
      <c r="V178" s="904"/>
      <c r="W178" s="904"/>
      <c r="X178" s="904"/>
      <c r="Y178" s="904"/>
    </row>
    <row r="179" spans="1:25" x14ac:dyDescent="0.2">
      <c r="A179" s="903"/>
      <c r="B179" s="903"/>
      <c r="C179" s="903"/>
      <c r="D179" s="903"/>
      <c r="E179" s="903"/>
      <c r="P179" s="846"/>
      <c r="R179" s="904"/>
      <c r="S179" s="904"/>
      <c r="T179" s="904"/>
      <c r="U179" s="904"/>
      <c r="V179" s="904"/>
      <c r="W179" s="904"/>
      <c r="X179" s="904"/>
      <c r="Y179" s="904"/>
    </row>
    <row r="180" spans="1:25" x14ac:dyDescent="0.2">
      <c r="A180" s="903"/>
      <c r="B180" s="903"/>
      <c r="C180" s="903"/>
      <c r="D180" s="903"/>
      <c r="E180" s="903"/>
      <c r="P180" s="846"/>
      <c r="R180" s="904"/>
      <c r="S180" s="904"/>
      <c r="T180" s="904"/>
      <c r="U180" s="904"/>
      <c r="V180" s="904"/>
      <c r="W180" s="904"/>
      <c r="X180" s="904"/>
      <c r="Y180" s="904"/>
    </row>
    <row r="181" spans="1:25" x14ac:dyDescent="0.2">
      <c r="A181" s="903"/>
      <c r="B181" s="903"/>
      <c r="C181" s="903"/>
      <c r="D181" s="903"/>
      <c r="E181" s="903"/>
      <c r="P181" s="846"/>
      <c r="R181" s="904"/>
      <c r="S181" s="904"/>
      <c r="T181" s="904"/>
      <c r="U181" s="904"/>
      <c r="V181" s="904"/>
      <c r="W181" s="904"/>
      <c r="X181" s="904"/>
      <c r="Y181" s="904"/>
    </row>
    <row r="182" spans="1:25" x14ac:dyDescent="0.2">
      <c r="A182" s="903"/>
      <c r="B182" s="903"/>
      <c r="C182" s="903"/>
      <c r="D182" s="903"/>
      <c r="E182" s="903"/>
      <c r="P182" s="846"/>
      <c r="R182" s="904"/>
      <c r="S182" s="904"/>
      <c r="T182" s="904"/>
      <c r="U182" s="904"/>
      <c r="V182" s="904"/>
      <c r="W182" s="904"/>
      <c r="X182" s="904"/>
      <c r="Y182" s="904"/>
    </row>
    <row r="183" spans="1:25" x14ac:dyDescent="0.2">
      <c r="A183" s="903"/>
      <c r="B183" s="903"/>
      <c r="C183" s="903"/>
      <c r="D183" s="903"/>
      <c r="E183" s="903"/>
      <c r="P183" s="846"/>
      <c r="R183" s="904"/>
      <c r="S183" s="904"/>
      <c r="T183" s="904"/>
      <c r="U183" s="904"/>
      <c r="V183" s="904"/>
      <c r="W183" s="904"/>
      <c r="X183" s="904"/>
      <c r="Y183" s="904"/>
    </row>
    <row r="184" spans="1:25" x14ac:dyDescent="0.2">
      <c r="A184" s="903"/>
      <c r="B184" s="903"/>
      <c r="C184" s="903"/>
      <c r="D184" s="903"/>
      <c r="E184" s="903"/>
      <c r="P184" s="846"/>
      <c r="R184" s="904"/>
      <c r="S184" s="904"/>
      <c r="T184" s="904"/>
      <c r="U184" s="904"/>
      <c r="V184" s="904"/>
      <c r="W184" s="904"/>
      <c r="X184" s="904"/>
      <c r="Y184" s="904"/>
    </row>
    <row r="185" spans="1:25" x14ac:dyDescent="0.2">
      <c r="A185" s="903"/>
      <c r="B185" s="903"/>
      <c r="C185" s="903"/>
      <c r="D185" s="903"/>
      <c r="E185" s="903"/>
      <c r="P185" s="846"/>
      <c r="R185" s="904"/>
      <c r="S185" s="904"/>
      <c r="T185" s="904"/>
      <c r="U185" s="904"/>
      <c r="V185" s="904"/>
      <c r="W185" s="904"/>
      <c r="X185" s="904"/>
      <c r="Y185" s="904"/>
    </row>
    <row r="186" spans="1:25" x14ac:dyDescent="0.2">
      <c r="A186" s="903"/>
      <c r="B186" s="903"/>
      <c r="C186" s="903"/>
      <c r="D186" s="903"/>
      <c r="E186" s="903"/>
      <c r="P186" s="846"/>
      <c r="R186" s="904"/>
      <c r="S186" s="904"/>
      <c r="T186" s="904"/>
      <c r="U186" s="904"/>
      <c r="V186" s="904"/>
      <c r="W186" s="904"/>
      <c r="X186" s="904"/>
      <c r="Y186" s="904"/>
    </row>
    <row r="187" spans="1:25" x14ac:dyDescent="0.2">
      <c r="A187" s="903"/>
      <c r="B187" s="903"/>
      <c r="C187" s="903"/>
      <c r="D187" s="903"/>
      <c r="E187" s="903"/>
      <c r="P187" s="846"/>
      <c r="R187" s="904"/>
      <c r="S187" s="904"/>
      <c r="T187" s="904"/>
      <c r="U187" s="904"/>
      <c r="V187" s="904"/>
      <c r="W187" s="904"/>
      <c r="X187" s="904"/>
      <c r="Y187" s="904"/>
    </row>
    <row r="188" spans="1:25" x14ac:dyDescent="0.2">
      <c r="A188" s="903"/>
      <c r="B188" s="903"/>
      <c r="C188" s="903"/>
      <c r="D188" s="903"/>
      <c r="E188" s="903"/>
      <c r="P188" s="846"/>
      <c r="R188" s="904"/>
      <c r="S188" s="904"/>
      <c r="T188" s="904"/>
      <c r="U188" s="904"/>
      <c r="V188" s="904"/>
      <c r="W188" s="904"/>
      <c r="X188" s="904"/>
      <c r="Y188" s="904"/>
    </row>
    <row r="189" spans="1:25" x14ac:dyDescent="0.2">
      <c r="A189" s="903"/>
      <c r="B189" s="903"/>
      <c r="C189" s="903"/>
      <c r="D189" s="903"/>
      <c r="E189" s="903"/>
      <c r="P189" s="846"/>
      <c r="R189" s="904"/>
      <c r="S189" s="904"/>
      <c r="T189" s="904"/>
      <c r="U189" s="904"/>
      <c r="V189" s="904"/>
      <c r="W189" s="904"/>
      <c r="X189" s="904"/>
      <c r="Y189" s="904"/>
    </row>
    <row r="190" spans="1:25" x14ac:dyDescent="0.2">
      <c r="A190" s="903"/>
      <c r="B190" s="903"/>
      <c r="C190" s="903"/>
      <c r="D190" s="903"/>
      <c r="E190" s="903"/>
      <c r="P190" s="846"/>
      <c r="R190" s="904"/>
      <c r="S190" s="904"/>
      <c r="T190" s="904"/>
      <c r="U190" s="904"/>
      <c r="V190" s="904"/>
      <c r="W190" s="904"/>
      <c r="X190" s="904"/>
      <c r="Y190" s="904"/>
    </row>
    <row r="191" spans="1:25" x14ac:dyDescent="0.2">
      <c r="A191" s="903"/>
      <c r="B191" s="903"/>
      <c r="C191" s="903"/>
      <c r="D191" s="903"/>
      <c r="E191" s="903"/>
      <c r="P191" s="846"/>
      <c r="R191" s="904"/>
      <c r="S191" s="904"/>
      <c r="T191" s="904"/>
      <c r="U191" s="904"/>
      <c r="V191" s="904"/>
      <c r="W191" s="904"/>
      <c r="X191" s="904"/>
      <c r="Y191" s="904"/>
    </row>
    <row r="192" spans="1:25" x14ac:dyDescent="0.2">
      <c r="A192" s="903"/>
      <c r="B192" s="903"/>
      <c r="C192" s="903"/>
      <c r="D192" s="903"/>
      <c r="E192" s="903"/>
      <c r="P192" s="846"/>
      <c r="R192" s="904"/>
      <c r="S192" s="904"/>
      <c r="T192" s="904"/>
      <c r="U192" s="904"/>
      <c r="V192" s="904"/>
      <c r="W192" s="904"/>
      <c r="X192" s="904"/>
      <c r="Y192" s="904"/>
    </row>
    <row r="193" spans="1:25" x14ac:dyDescent="0.2">
      <c r="A193" s="903"/>
      <c r="B193" s="903"/>
      <c r="C193" s="903"/>
      <c r="D193" s="903"/>
      <c r="E193" s="903"/>
      <c r="P193" s="846"/>
      <c r="R193" s="904"/>
      <c r="S193" s="904"/>
      <c r="T193" s="904"/>
      <c r="U193" s="904"/>
      <c r="V193" s="904"/>
      <c r="W193" s="904"/>
      <c r="X193" s="904"/>
      <c r="Y193" s="904"/>
    </row>
    <row r="194" spans="1:25" x14ac:dyDescent="0.2">
      <c r="A194" s="903"/>
      <c r="B194" s="903"/>
      <c r="C194" s="903"/>
      <c r="D194" s="903"/>
      <c r="E194" s="903"/>
      <c r="P194" s="846"/>
      <c r="R194" s="904"/>
      <c r="S194" s="904"/>
      <c r="T194" s="904"/>
      <c r="U194" s="904"/>
      <c r="V194" s="904"/>
      <c r="W194" s="904"/>
      <c r="X194" s="904"/>
      <c r="Y194" s="904"/>
    </row>
    <row r="195" spans="1:25" x14ac:dyDescent="0.2">
      <c r="A195" s="903"/>
      <c r="B195" s="903"/>
      <c r="C195" s="903"/>
      <c r="D195" s="903"/>
      <c r="E195" s="903"/>
      <c r="P195" s="846"/>
      <c r="R195" s="904"/>
      <c r="S195" s="904"/>
      <c r="T195" s="904"/>
      <c r="U195" s="904"/>
      <c r="V195" s="904"/>
      <c r="W195" s="904"/>
      <c r="X195" s="904"/>
      <c r="Y195" s="904"/>
    </row>
    <row r="196" spans="1:25" x14ac:dyDescent="0.2">
      <c r="A196" s="903"/>
      <c r="B196" s="903"/>
      <c r="C196" s="903"/>
      <c r="D196" s="903"/>
      <c r="E196" s="903"/>
      <c r="P196" s="846"/>
      <c r="R196" s="904"/>
      <c r="S196" s="904"/>
      <c r="T196" s="904"/>
      <c r="U196" s="904"/>
      <c r="V196" s="904"/>
      <c r="W196" s="904"/>
      <c r="X196" s="904"/>
      <c r="Y196" s="904"/>
    </row>
    <row r="197" spans="1:25" x14ac:dyDescent="0.2">
      <c r="A197" s="903"/>
      <c r="B197" s="903"/>
      <c r="C197" s="903"/>
      <c r="D197" s="903"/>
      <c r="E197" s="903"/>
      <c r="P197" s="846"/>
      <c r="R197" s="904"/>
      <c r="S197" s="904"/>
      <c r="T197" s="904"/>
      <c r="U197" s="904"/>
      <c r="V197" s="904"/>
      <c r="W197" s="904"/>
      <c r="X197" s="904"/>
      <c r="Y197" s="904"/>
    </row>
    <row r="198" spans="1:25" x14ac:dyDescent="0.2">
      <c r="A198" s="903"/>
      <c r="B198" s="903"/>
      <c r="C198" s="903"/>
      <c r="D198" s="903"/>
      <c r="E198" s="903"/>
      <c r="P198" s="846"/>
      <c r="R198" s="904"/>
      <c r="S198" s="904"/>
      <c r="T198" s="904"/>
      <c r="U198" s="904"/>
      <c r="V198" s="904"/>
      <c r="W198" s="904"/>
      <c r="X198" s="904"/>
      <c r="Y198" s="904"/>
    </row>
    <row r="199" spans="1:25" x14ac:dyDescent="0.2">
      <c r="A199" s="903"/>
      <c r="B199" s="903"/>
      <c r="C199" s="903"/>
      <c r="D199" s="903"/>
      <c r="E199" s="903"/>
      <c r="P199" s="846"/>
      <c r="R199" s="904"/>
      <c r="S199" s="904"/>
      <c r="T199" s="904"/>
      <c r="U199" s="904"/>
      <c r="V199" s="904"/>
      <c r="W199" s="904"/>
      <c r="X199" s="904"/>
      <c r="Y199" s="904"/>
    </row>
    <row r="200" spans="1:25" x14ac:dyDescent="0.2">
      <c r="A200" s="903"/>
      <c r="B200" s="903"/>
      <c r="C200" s="903"/>
      <c r="D200" s="903"/>
      <c r="E200" s="903"/>
      <c r="P200" s="846"/>
      <c r="R200" s="904"/>
      <c r="S200" s="904"/>
      <c r="T200" s="904"/>
      <c r="U200" s="904"/>
      <c r="V200" s="904"/>
      <c r="W200" s="904"/>
      <c r="X200" s="904"/>
      <c r="Y200" s="904"/>
    </row>
    <row r="201" spans="1:25" x14ac:dyDescent="0.2">
      <c r="A201" s="903"/>
      <c r="B201" s="903"/>
      <c r="C201" s="903"/>
      <c r="D201" s="903"/>
      <c r="E201" s="903"/>
      <c r="P201" s="846"/>
      <c r="R201" s="904"/>
      <c r="S201" s="904"/>
      <c r="T201" s="904"/>
      <c r="U201" s="904"/>
      <c r="V201" s="904"/>
      <c r="W201" s="904"/>
      <c r="X201" s="904"/>
      <c r="Y201" s="904"/>
    </row>
    <row r="202" spans="1:25" x14ac:dyDescent="0.2">
      <c r="A202" s="903"/>
      <c r="B202" s="903"/>
      <c r="C202" s="903"/>
      <c r="D202" s="903"/>
      <c r="E202" s="903"/>
      <c r="P202" s="846"/>
      <c r="R202" s="904"/>
      <c r="S202" s="904"/>
      <c r="T202" s="904"/>
      <c r="U202" s="904"/>
      <c r="V202" s="904"/>
      <c r="W202" s="904"/>
      <c r="X202" s="904"/>
      <c r="Y202" s="904"/>
    </row>
    <row r="203" spans="1:25" x14ac:dyDescent="0.2">
      <c r="A203" s="903"/>
      <c r="B203" s="903"/>
      <c r="C203" s="903"/>
      <c r="D203" s="903"/>
      <c r="E203" s="903"/>
      <c r="P203" s="846"/>
      <c r="R203" s="904"/>
      <c r="S203" s="904"/>
      <c r="T203" s="904"/>
      <c r="U203" s="904"/>
      <c r="V203" s="904"/>
      <c r="W203" s="904"/>
      <c r="X203" s="904"/>
      <c r="Y203" s="904"/>
    </row>
    <row r="204" spans="1:25" x14ac:dyDescent="0.2">
      <c r="A204" s="903"/>
      <c r="B204" s="903"/>
      <c r="C204" s="903"/>
      <c r="D204" s="903"/>
      <c r="E204" s="903"/>
      <c r="P204" s="846"/>
      <c r="R204" s="904"/>
      <c r="S204" s="904"/>
      <c r="T204" s="904"/>
      <c r="U204" s="904"/>
      <c r="V204" s="904"/>
      <c r="W204" s="904"/>
      <c r="X204" s="904"/>
      <c r="Y204" s="904"/>
    </row>
    <row r="205" spans="1:25" x14ac:dyDescent="0.2">
      <c r="A205" s="903"/>
      <c r="B205" s="903"/>
      <c r="C205" s="903"/>
      <c r="D205" s="903"/>
      <c r="E205" s="903"/>
      <c r="P205" s="846"/>
      <c r="R205" s="904"/>
      <c r="S205" s="904"/>
      <c r="T205" s="904"/>
      <c r="U205" s="904"/>
      <c r="V205" s="904"/>
      <c r="W205" s="904"/>
      <c r="X205" s="904"/>
      <c r="Y205" s="904"/>
    </row>
    <row r="206" spans="1:25" x14ac:dyDescent="0.2">
      <c r="A206" s="903"/>
      <c r="B206" s="903"/>
      <c r="C206" s="903"/>
      <c r="D206" s="903"/>
      <c r="E206" s="903"/>
      <c r="P206" s="846"/>
      <c r="R206" s="904"/>
      <c r="S206" s="904"/>
      <c r="T206" s="904"/>
      <c r="U206" s="904"/>
      <c r="V206" s="904"/>
      <c r="W206" s="904"/>
      <c r="X206" s="904"/>
      <c r="Y206" s="904"/>
    </row>
    <row r="207" spans="1:25" x14ac:dyDescent="0.2">
      <c r="A207" s="903"/>
      <c r="B207" s="903"/>
      <c r="C207" s="903"/>
      <c r="D207" s="903"/>
      <c r="E207" s="903"/>
      <c r="P207" s="846"/>
      <c r="R207" s="904"/>
      <c r="S207" s="904"/>
      <c r="T207" s="904"/>
      <c r="U207" s="904"/>
      <c r="V207" s="904"/>
      <c r="W207" s="904"/>
      <c r="X207" s="904"/>
      <c r="Y207" s="904"/>
    </row>
    <row r="208" spans="1:25" x14ac:dyDescent="0.2">
      <c r="A208" s="903"/>
      <c r="B208" s="903"/>
      <c r="C208" s="903"/>
      <c r="D208" s="903"/>
      <c r="E208" s="903"/>
      <c r="P208" s="846"/>
      <c r="R208" s="904"/>
      <c r="S208" s="904"/>
      <c r="T208" s="904"/>
      <c r="U208" s="904"/>
      <c r="V208" s="904"/>
      <c r="W208" s="904"/>
      <c r="X208" s="904"/>
      <c r="Y208" s="904"/>
    </row>
    <row r="209" spans="1:25" x14ac:dyDescent="0.2">
      <c r="A209" s="903"/>
      <c r="B209" s="903"/>
      <c r="C209" s="903"/>
      <c r="D209" s="903"/>
      <c r="E209" s="903"/>
      <c r="P209" s="846"/>
      <c r="R209" s="904"/>
      <c r="S209" s="904"/>
      <c r="T209" s="904"/>
      <c r="U209" s="904"/>
      <c r="V209" s="904"/>
      <c r="W209" s="904"/>
      <c r="X209" s="904"/>
      <c r="Y209" s="904"/>
    </row>
    <row r="210" spans="1:25" x14ac:dyDescent="0.2">
      <c r="A210" s="903"/>
      <c r="B210" s="903"/>
      <c r="C210" s="903"/>
      <c r="D210" s="903"/>
      <c r="E210" s="903"/>
      <c r="P210" s="846"/>
      <c r="R210" s="904"/>
      <c r="S210" s="904"/>
      <c r="T210" s="904"/>
      <c r="U210" s="904"/>
      <c r="V210" s="904"/>
      <c r="W210" s="904"/>
      <c r="X210" s="904"/>
      <c r="Y210" s="904"/>
    </row>
    <row r="211" spans="1:25" x14ac:dyDescent="0.2">
      <c r="A211" s="903"/>
      <c r="B211" s="903"/>
      <c r="C211" s="903"/>
      <c r="D211" s="903"/>
      <c r="E211" s="903"/>
      <c r="P211" s="846"/>
      <c r="R211" s="904"/>
      <c r="S211" s="904"/>
      <c r="T211" s="904"/>
      <c r="U211" s="904"/>
      <c r="V211" s="904"/>
      <c r="W211" s="904"/>
      <c r="X211" s="904"/>
      <c r="Y211" s="904"/>
    </row>
    <row r="212" spans="1:25" x14ac:dyDescent="0.2">
      <c r="A212" s="903"/>
      <c r="B212" s="903"/>
      <c r="C212" s="903"/>
      <c r="D212" s="903"/>
      <c r="E212" s="903"/>
      <c r="P212" s="846"/>
      <c r="R212" s="904"/>
      <c r="S212" s="904"/>
      <c r="T212" s="904"/>
      <c r="U212" s="904"/>
      <c r="V212" s="904"/>
      <c r="W212" s="904"/>
      <c r="X212" s="904"/>
      <c r="Y212" s="904"/>
    </row>
    <row r="213" spans="1:25" x14ac:dyDescent="0.2">
      <c r="A213" s="903"/>
      <c r="B213" s="903"/>
      <c r="C213" s="903"/>
      <c r="D213" s="903"/>
      <c r="E213" s="903"/>
      <c r="P213" s="846"/>
      <c r="R213" s="904"/>
      <c r="S213" s="904"/>
      <c r="T213" s="904"/>
      <c r="U213" s="904"/>
      <c r="V213" s="904"/>
      <c r="W213" s="904"/>
      <c r="X213" s="904"/>
      <c r="Y213" s="904"/>
    </row>
    <row r="214" spans="1:25" x14ac:dyDescent="0.2">
      <c r="A214" s="903"/>
      <c r="B214" s="903"/>
      <c r="C214" s="903"/>
      <c r="D214" s="903"/>
      <c r="E214" s="903"/>
      <c r="P214" s="846"/>
      <c r="R214" s="904"/>
      <c r="S214" s="904"/>
      <c r="T214" s="904"/>
      <c r="U214" s="904"/>
      <c r="V214" s="904"/>
      <c r="W214" s="904"/>
      <c r="X214" s="904"/>
      <c r="Y214" s="904"/>
    </row>
    <row r="215" spans="1:25" x14ac:dyDescent="0.2">
      <c r="A215" s="903"/>
      <c r="B215" s="903"/>
      <c r="C215" s="903"/>
      <c r="D215" s="903"/>
      <c r="E215" s="903"/>
      <c r="P215" s="846"/>
      <c r="R215" s="904"/>
      <c r="S215" s="904"/>
      <c r="T215" s="904"/>
      <c r="U215" s="904"/>
      <c r="V215" s="904"/>
      <c r="W215" s="904"/>
      <c r="X215" s="904"/>
      <c r="Y215" s="904"/>
    </row>
    <row r="216" spans="1:25" x14ac:dyDescent="0.2">
      <c r="A216" s="903"/>
      <c r="B216" s="903"/>
      <c r="C216" s="903"/>
      <c r="D216" s="903"/>
      <c r="E216" s="903"/>
      <c r="P216" s="846"/>
      <c r="R216" s="904"/>
      <c r="S216" s="904"/>
      <c r="T216" s="904"/>
      <c r="U216" s="904"/>
      <c r="V216" s="904"/>
      <c r="W216" s="904"/>
      <c r="X216" s="904"/>
      <c r="Y216" s="904"/>
    </row>
    <row r="217" spans="1:25" x14ac:dyDescent="0.2">
      <c r="A217" s="903"/>
      <c r="B217" s="903"/>
      <c r="C217" s="903"/>
      <c r="D217" s="903"/>
      <c r="E217" s="903"/>
      <c r="P217" s="846"/>
      <c r="R217" s="904"/>
      <c r="S217" s="904"/>
      <c r="T217" s="904"/>
      <c r="U217" s="904"/>
      <c r="V217" s="904"/>
      <c r="W217" s="904"/>
      <c r="X217" s="904"/>
      <c r="Y217" s="904"/>
    </row>
    <row r="218" spans="1:25" x14ac:dyDescent="0.2">
      <c r="A218" s="903"/>
      <c r="B218" s="903"/>
      <c r="C218" s="903"/>
      <c r="D218" s="903"/>
      <c r="E218" s="903"/>
      <c r="P218" s="846"/>
      <c r="R218" s="904"/>
      <c r="S218" s="904"/>
      <c r="T218" s="904"/>
      <c r="U218" s="904"/>
      <c r="V218" s="904"/>
      <c r="W218" s="904"/>
      <c r="X218" s="904"/>
      <c r="Y218" s="904"/>
    </row>
    <row r="219" spans="1:25" x14ac:dyDescent="0.2">
      <c r="A219" s="903"/>
      <c r="B219" s="903"/>
      <c r="C219" s="903"/>
      <c r="D219" s="903"/>
      <c r="E219" s="903"/>
      <c r="P219" s="846"/>
      <c r="R219" s="904"/>
      <c r="S219" s="904"/>
      <c r="T219" s="904"/>
      <c r="U219" s="904"/>
      <c r="V219" s="904"/>
      <c r="W219" s="904"/>
      <c r="X219" s="904"/>
      <c r="Y219" s="904"/>
    </row>
    <row r="220" spans="1:25" x14ac:dyDescent="0.2">
      <c r="A220" s="903"/>
      <c r="B220" s="903"/>
      <c r="C220" s="903"/>
      <c r="D220" s="903"/>
      <c r="E220" s="903"/>
      <c r="P220" s="846"/>
      <c r="R220" s="904"/>
      <c r="S220" s="904"/>
      <c r="T220" s="904"/>
      <c r="U220" s="904"/>
      <c r="V220" s="904"/>
      <c r="W220" s="904"/>
      <c r="X220" s="904"/>
      <c r="Y220" s="904"/>
    </row>
    <row r="221" spans="1:25" x14ac:dyDescent="0.2">
      <c r="A221" s="903"/>
      <c r="B221" s="903"/>
      <c r="C221" s="903"/>
      <c r="D221" s="903"/>
      <c r="E221" s="903"/>
      <c r="P221" s="846"/>
      <c r="R221" s="904"/>
      <c r="S221" s="904"/>
      <c r="T221" s="904"/>
      <c r="U221" s="904"/>
      <c r="V221" s="904"/>
      <c r="W221" s="904"/>
      <c r="X221" s="904"/>
      <c r="Y221" s="904"/>
    </row>
    <row r="222" spans="1:25" x14ac:dyDescent="0.2">
      <c r="A222" s="903"/>
      <c r="B222" s="903"/>
      <c r="C222" s="903"/>
      <c r="D222" s="903"/>
      <c r="E222" s="903"/>
      <c r="P222" s="846"/>
      <c r="R222" s="904"/>
      <c r="S222" s="904"/>
      <c r="T222" s="904"/>
      <c r="U222" s="904"/>
      <c r="V222" s="904"/>
      <c r="W222" s="904"/>
      <c r="X222" s="904"/>
      <c r="Y222" s="904"/>
    </row>
    <row r="223" spans="1:25" x14ac:dyDescent="0.2">
      <c r="A223" s="903"/>
      <c r="B223" s="903"/>
      <c r="C223" s="903"/>
      <c r="D223" s="903"/>
      <c r="E223" s="903"/>
      <c r="P223" s="846"/>
      <c r="R223" s="904"/>
      <c r="S223" s="904"/>
      <c r="T223" s="904"/>
      <c r="U223" s="904"/>
      <c r="V223" s="904"/>
      <c r="W223" s="904"/>
      <c r="X223" s="904"/>
      <c r="Y223" s="904"/>
    </row>
    <row r="224" spans="1:25" x14ac:dyDescent="0.2">
      <c r="A224" s="903"/>
      <c r="B224" s="903"/>
      <c r="C224" s="903"/>
      <c r="D224" s="903"/>
      <c r="E224" s="903"/>
      <c r="P224" s="846"/>
      <c r="R224" s="904"/>
      <c r="S224" s="904"/>
      <c r="T224" s="904"/>
      <c r="U224" s="904"/>
      <c r="V224" s="904"/>
      <c r="W224" s="904"/>
      <c r="X224" s="904"/>
      <c r="Y224" s="904"/>
    </row>
    <row r="225" spans="1:25" x14ac:dyDescent="0.2">
      <c r="A225" s="903"/>
      <c r="B225" s="903"/>
      <c r="C225" s="903"/>
      <c r="D225" s="903"/>
      <c r="E225" s="903"/>
      <c r="P225" s="846"/>
      <c r="R225" s="904"/>
      <c r="S225" s="904"/>
      <c r="T225" s="904"/>
      <c r="U225" s="904"/>
      <c r="V225" s="904"/>
      <c r="W225" s="904"/>
      <c r="X225" s="904"/>
      <c r="Y225" s="904"/>
    </row>
    <row r="226" spans="1:25" x14ac:dyDescent="0.2">
      <c r="A226" s="903"/>
      <c r="B226" s="903"/>
      <c r="C226" s="903"/>
      <c r="D226" s="903"/>
      <c r="E226" s="903"/>
      <c r="P226" s="846"/>
      <c r="R226" s="904"/>
      <c r="S226" s="904"/>
      <c r="T226" s="904"/>
      <c r="U226" s="904"/>
      <c r="V226" s="904"/>
      <c r="W226" s="904"/>
      <c r="X226" s="904"/>
      <c r="Y226" s="904"/>
    </row>
    <row r="227" spans="1:25" x14ac:dyDescent="0.2">
      <c r="A227" s="903"/>
      <c r="B227" s="903"/>
      <c r="C227" s="903"/>
      <c r="D227" s="903"/>
      <c r="E227" s="903"/>
      <c r="P227" s="846"/>
      <c r="R227" s="904"/>
      <c r="S227" s="904"/>
      <c r="T227" s="904"/>
      <c r="U227" s="904"/>
      <c r="V227" s="904"/>
      <c r="W227" s="904"/>
      <c r="X227" s="904"/>
      <c r="Y227" s="904"/>
    </row>
    <row r="228" spans="1:25" x14ac:dyDescent="0.2">
      <c r="A228" s="903"/>
      <c r="B228" s="903"/>
      <c r="C228" s="903"/>
      <c r="D228" s="903"/>
      <c r="E228" s="903"/>
      <c r="P228" s="846"/>
      <c r="R228" s="904"/>
      <c r="S228" s="904"/>
      <c r="T228" s="904"/>
      <c r="U228" s="904"/>
      <c r="V228" s="904"/>
      <c r="W228" s="904"/>
      <c r="X228" s="904"/>
      <c r="Y228" s="904"/>
    </row>
    <row r="229" spans="1:25" x14ac:dyDescent="0.2">
      <c r="A229" s="903"/>
      <c r="B229" s="903"/>
      <c r="C229" s="903"/>
      <c r="D229" s="903"/>
      <c r="E229" s="903"/>
      <c r="P229" s="846"/>
      <c r="R229" s="904"/>
      <c r="S229" s="904"/>
      <c r="T229" s="904"/>
      <c r="U229" s="904"/>
      <c r="V229" s="904"/>
      <c r="W229" s="904"/>
      <c r="X229" s="904"/>
      <c r="Y229" s="904"/>
    </row>
    <row r="230" spans="1:25" x14ac:dyDescent="0.2">
      <c r="A230" s="903"/>
      <c r="B230" s="903"/>
      <c r="C230" s="903"/>
      <c r="D230" s="903"/>
      <c r="E230" s="903"/>
      <c r="P230" s="846"/>
      <c r="R230" s="904"/>
      <c r="S230" s="904"/>
      <c r="T230" s="904"/>
      <c r="U230" s="904"/>
      <c r="V230" s="904"/>
      <c r="W230" s="904"/>
      <c r="X230" s="904"/>
      <c r="Y230" s="904"/>
    </row>
    <row r="231" spans="1:25" x14ac:dyDescent="0.2">
      <c r="A231" s="903"/>
      <c r="B231" s="903"/>
      <c r="C231" s="903"/>
      <c r="D231" s="903"/>
      <c r="E231" s="903"/>
      <c r="P231" s="846"/>
      <c r="R231" s="904"/>
      <c r="S231" s="904"/>
      <c r="T231" s="904"/>
      <c r="U231" s="904"/>
      <c r="V231" s="904"/>
      <c r="W231" s="904"/>
      <c r="X231" s="904"/>
      <c r="Y231" s="904"/>
    </row>
    <row r="232" spans="1:25" x14ac:dyDescent="0.2">
      <c r="A232" s="903"/>
      <c r="B232" s="903"/>
      <c r="C232" s="903"/>
      <c r="D232" s="903"/>
      <c r="E232" s="903"/>
      <c r="P232" s="846"/>
      <c r="R232" s="904"/>
      <c r="S232" s="904"/>
      <c r="T232" s="904"/>
      <c r="U232" s="904"/>
      <c r="V232" s="904"/>
      <c r="W232" s="904"/>
      <c r="X232" s="904"/>
      <c r="Y232" s="904"/>
    </row>
    <row r="233" spans="1:25" x14ac:dyDescent="0.2">
      <c r="A233" s="903"/>
      <c r="B233" s="903"/>
      <c r="C233" s="903"/>
      <c r="D233" s="903"/>
      <c r="E233" s="903"/>
      <c r="P233" s="846"/>
      <c r="R233" s="904"/>
      <c r="S233" s="904"/>
      <c r="T233" s="904"/>
      <c r="U233" s="904"/>
      <c r="V233" s="904"/>
      <c r="W233" s="904"/>
      <c r="X233" s="904"/>
      <c r="Y233" s="904"/>
    </row>
    <row r="234" spans="1:25" x14ac:dyDescent="0.2">
      <c r="A234" s="903"/>
      <c r="B234" s="903"/>
      <c r="C234" s="903"/>
      <c r="D234" s="903"/>
      <c r="E234" s="903"/>
      <c r="P234" s="846"/>
      <c r="R234" s="904"/>
      <c r="S234" s="904"/>
      <c r="T234" s="904"/>
      <c r="U234" s="904"/>
      <c r="V234" s="904"/>
      <c r="W234" s="904"/>
      <c r="X234" s="904"/>
      <c r="Y234" s="904"/>
    </row>
    <row r="235" spans="1:25" x14ac:dyDescent="0.2">
      <c r="A235" s="903"/>
      <c r="B235" s="903"/>
      <c r="C235" s="903"/>
      <c r="D235" s="903"/>
      <c r="E235" s="903"/>
      <c r="P235" s="846"/>
      <c r="R235" s="904"/>
      <c r="S235" s="904"/>
      <c r="T235" s="904"/>
      <c r="U235" s="904"/>
      <c r="V235" s="904"/>
      <c r="W235" s="904"/>
      <c r="X235" s="904"/>
      <c r="Y235" s="904"/>
    </row>
    <row r="236" spans="1:25" x14ac:dyDescent="0.2">
      <c r="A236" s="903"/>
      <c r="B236" s="903"/>
      <c r="C236" s="903"/>
      <c r="D236" s="903"/>
      <c r="E236" s="903"/>
      <c r="P236" s="846"/>
      <c r="R236" s="904"/>
      <c r="S236" s="904"/>
      <c r="T236" s="904"/>
      <c r="U236" s="904"/>
      <c r="V236" s="904"/>
      <c r="W236" s="904"/>
      <c r="X236" s="904"/>
      <c r="Y236" s="904"/>
    </row>
    <row r="237" spans="1:25" x14ac:dyDescent="0.2">
      <c r="A237" s="903"/>
      <c r="B237" s="903"/>
      <c r="C237" s="903"/>
      <c r="D237" s="903"/>
      <c r="E237" s="903"/>
      <c r="P237" s="846"/>
      <c r="R237" s="904"/>
      <c r="S237" s="904"/>
      <c r="T237" s="904"/>
      <c r="U237" s="904"/>
      <c r="V237" s="904"/>
      <c r="W237" s="904"/>
      <c r="X237" s="904"/>
      <c r="Y237" s="904"/>
    </row>
    <row r="238" spans="1:25" x14ac:dyDescent="0.2">
      <c r="A238" s="903"/>
      <c r="B238" s="903"/>
      <c r="C238" s="903"/>
      <c r="D238" s="903"/>
      <c r="E238" s="903"/>
      <c r="P238" s="846"/>
      <c r="R238" s="904"/>
      <c r="S238" s="904"/>
      <c r="T238" s="904"/>
      <c r="U238" s="904"/>
      <c r="V238" s="904"/>
      <c r="W238" s="904"/>
      <c r="X238" s="904"/>
      <c r="Y238" s="904"/>
    </row>
    <row r="239" spans="1:25" x14ac:dyDescent="0.2">
      <c r="A239" s="903"/>
      <c r="B239" s="903"/>
      <c r="C239" s="903"/>
      <c r="D239" s="903"/>
      <c r="E239" s="903"/>
      <c r="P239" s="846"/>
      <c r="R239" s="904"/>
      <c r="S239" s="904"/>
      <c r="T239" s="904"/>
      <c r="U239" s="904"/>
      <c r="V239" s="904"/>
      <c r="W239" s="904"/>
      <c r="X239" s="904"/>
      <c r="Y239" s="904"/>
    </row>
    <row r="240" spans="1:25" x14ac:dyDescent="0.2">
      <c r="A240" s="903"/>
      <c r="B240" s="903"/>
      <c r="C240" s="903"/>
      <c r="D240" s="903"/>
      <c r="E240" s="903"/>
      <c r="P240" s="846"/>
      <c r="R240" s="904"/>
      <c r="S240" s="904"/>
      <c r="T240" s="904"/>
      <c r="U240" s="904"/>
      <c r="V240" s="904"/>
      <c r="W240" s="904"/>
      <c r="X240" s="904"/>
      <c r="Y240" s="904"/>
    </row>
    <row r="241" spans="1:25" x14ac:dyDescent="0.2">
      <c r="A241" s="903"/>
      <c r="B241" s="903"/>
      <c r="C241" s="903"/>
      <c r="D241" s="903"/>
      <c r="E241" s="903"/>
      <c r="P241" s="846"/>
      <c r="R241" s="904"/>
      <c r="S241" s="904"/>
      <c r="T241" s="904"/>
      <c r="U241" s="904"/>
      <c r="V241" s="904"/>
      <c r="W241" s="904"/>
      <c r="X241" s="904"/>
      <c r="Y241" s="904"/>
    </row>
    <row r="242" spans="1:25" x14ac:dyDescent="0.2">
      <c r="A242" s="903"/>
      <c r="B242" s="903"/>
      <c r="C242" s="903"/>
      <c r="D242" s="903"/>
      <c r="E242" s="903"/>
      <c r="P242" s="846"/>
      <c r="R242" s="904"/>
      <c r="S242" s="904"/>
      <c r="T242" s="904"/>
      <c r="U242" s="904"/>
      <c r="V242" s="904"/>
      <c r="W242" s="904"/>
      <c r="X242" s="904"/>
      <c r="Y242" s="904"/>
    </row>
    <row r="243" spans="1:25" x14ac:dyDescent="0.2">
      <c r="A243" s="903"/>
      <c r="B243" s="903"/>
      <c r="C243" s="903"/>
      <c r="D243" s="903"/>
      <c r="E243" s="903"/>
      <c r="P243" s="846"/>
      <c r="R243" s="904"/>
      <c r="S243" s="904"/>
      <c r="T243" s="904"/>
      <c r="U243" s="904"/>
      <c r="V243" s="904"/>
      <c r="W243" s="904"/>
      <c r="X243" s="904"/>
      <c r="Y243" s="904"/>
    </row>
    <row r="244" spans="1:25" x14ac:dyDescent="0.2">
      <c r="A244" s="903"/>
      <c r="B244" s="903"/>
      <c r="C244" s="903"/>
      <c r="D244" s="903"/>
      <c r="E244" s="903"/>
      <c r="P244" s="846"/>
      <c r="R244" s="904"/>
      <c r="S244" s="904"/>
      <c r="T244" s="904"/>
      <c r="U244" s="904"/>
      <c r="V244" s="904"/>
      <c r="W244" s="904"/>
      <c r="X244" s="904"/>
      <c r="Y244" s="904"/>
    </row>
    <row r="245" spans="1:25" x14ac:dyDescent="0.2">
      <c r="A245" s="903"/>
      <c r="B245" s="903"/>
      <c r="C245" s="903"/>
      <c r="D245" s="903"/>
      <c r="E245" s="903"/>
      <c r="P245" s="846"/>
      <c r="R245" s="904"/>
      <c r="S245" s="904"/>
      <c r="T245" s="904"/>
      <c r="U245" s="904"/>
      <c r="V245" s="904"/>
      <c r="W245" s="904"/>
      <c r="X245" s="904"/>
      <c r="Y245" s="904"/>
    </row>
    <row r="246" spans="1:25" x14ac:dyDescent="0.2">
      <c r="A246" s="903"/>
      <c r="B246" s="903"/>
      <c r="C246" s="903"/>
      <c r="D246" s="903"/>
      <c r="E246" s="903"/>
      <c r="P246" s="846"/>
      <c r="R246" s="904"/>
      <c r="S246" s="904"/>
      <c r="T246" s="904"/>
      <c r="U246" s="904"/>
      <c r="V246" s="904"/>
      <c r="W246" s="904"/>
      <c r="X246" s="904"/>
      <c r="Y246" s="904"/>
    </row>
    <row r="247" spans="1:25" x14ac:dyDescent="0.2">
      <c r="A247" s="903"/>
      <c r="B247" s="903"/>
      <c r="C247" s="903"/>
      <c r="D247" s="903"/>
      <c r="E247" s="903"/>
      <c r="P247" s="846"/>
      <c r="R247" s="904"/>
      <c r="S247" s="904"/>
      <c r="T247" s="904"/>
      <c r="U247" s="904"/>
      <c r="V247" s="904"/>
      <c r="W247" s="904"/>
      <c r="X247" s="904"/>
      <c r="Y247" s="904"/>
    </row>
    <row r="248" spans="1:25" x14ac:dyDescent="0.2">
      <c r="A248" s="903"/>
      <c r="B248" s="903"/>
      <c r="C248" s="903"/>
      <c r="D248" s="903"/>
      <c r="E248" s="903"/>
      <c r="P248" s="846"/>
      <c r="R248" s="904"/>
      <c r="S248" s="904"/>
      <c r="T248" s="904"/>
      <c r="U248" s="904"/>
      <c r="V248" s="904"/>
      <c r="W248" s="904"/>
      <c r="X248" s="904"/>
      <c r="Y248" s="904"/>
    </row>
    <row r="249" spans="1:25" x14ac:dyDescent="0.2">
      <c r="A249" s="903"/>
      <c r="B249" s="903"/>
      <c r="C249" s="903"/>
      <c r="D249" s="903"/>
      <c r="E249" s="903"/>
      <c r="P249" s="846"/>
      <c r="R249" s="904"/>
      <c r="S249" s="904"/>
      <c r="T249" s="904"/>
      <c r="U249" s="904"/>
      <c r="V249" s="904"/>
      <c r="W249" s="904"/>
      <c r="X249" s="904"/>
      <c r="Y249" s="904"/>
    </row>
    <row r="250" spans="1:25" x14ac:dyDescent="0.2">
      <c r="A250" s="903"/>
      <c r="B250" s="903"/>
      <c r="C250" s="903"/>
      <c r="D250" s="903"/>
      <c r="E250" s="903"/>
      <c r="P250" s="846"/>
      <c r="R250" s="904"/>
      <c r="S250" s="904"/>
      <c r="T250" s="904"/>
      <c r="U250" s="904"/>
      <c r="V250" s="904"/>
      <c r="W250" s="904"/>
      <c r="X250" s="904"/>
      <c r="Y250" s="904"/>
    </row>
    <row r="251" spans="1:25" x14ac:dyDescent="0.2">
      <c r="A251" s="903"/>
      <c r="B251" s="903"/>
      <c r="C251" s="903"/>
      <c r="D251" s="903"/>
      <c r="E251" s="903"/>
      <c r="P251" s="846"/>
      <c r="R251" s="904"/>
      <c r="S251" s="904"/>
      <c r="T251" s="904"/>
      <c r="U251" s="904"/>
      <c r="V251" s="904"/>
      <c r="W251" s="904"/>
      <c r="X251" s="904"/>
      <c r="Y251" s="904"/>
    </row>
    <row r="252" spans="1:25" x14ac:dyDescent="0.2">
      <c r="A252" s="903"/>
      <c r="B252" s="903"/>
      <c r="C252" s="903"/>
      <c r="D252" s="903"/>
      <c r="E252" s="903"/>
      <c r="P252" s="846"/>
      <c r="R252" s="904"/>
      <c r="S252" s="904"/>
      <c r="T252" s="904"/>
      <c r="U252" s="904"/>
      <c r="V252" s="904"/>
      <c r="W252" s="904"/>
      <c r="X252" s="904"/>
      <c r="Y252" s="904"/>
    </row>
    <row r="253" spans="1:25" x14ac:dyDescent="0.2">
      <c r="A253" s="903"/>
      <c r="B253" s="903"/>
      <c r="C253" s="903"/>
      <c r="D253" s="903"/>
      <c r="E253" s="903"/>
      <c r="P253" s="846"/>
      <c r="R253" s="904"/>
      <c r="S253" s="904"/>
      <c r="T253" s="904"/>
      <c r="U253" s="904"/>
      <c r="V253" s="904"/>
      <c r="W253" s="904"/>
      <c r="X253" s="904"/>
      <c r="Y253" s="904"/>
    </row>
    <row r="254" spans="1:25" x14ac:dyDescent="0.2">
      <c r="A254" s="903"/>
      <c r="B254" s="903"/>
      <c r="C254" s="903"/>
      <c r="D254" s="903"/>
      <c r="E254" s="903"/>
      <c r="P254" s="846"/>
      <c r="R254" s="904"/>
      <c r="S254" s="904"/>
      <c r="T254" s="904"/>
      <c r="U254" s="904"/>
      <c r="V254" s="904"/>
      <c r="W254" s="904"/>
      <c r="X254" s="904"/>
      <c r="Y254" s="904"/>
    </row>
    <row r="255" spans="1:25" x14ac:dyDescent="0.2">
      <c r="A255" s="903"/>
      <c r="B255" s="903"/>
      <c r="C255" s="903"/>
      <c r="D255" s="903"/>
      <c r="E255" s="903"/>
      <c r="P255" s="846"/>
      <c r="R255" s="904"/>
      <c r="S255" s="904"/>
      <c r="T255" s="904"/>
      <c r="U255" s="904"/>
      <c r="V255" s="904"/>
      <c r="W255" s="904"/>
      <c r="X255" s="904"/>
      <c r="Y255" s="904"/>
    </row>
    <row r="256" spans="1:25" x14ac:dyDescent="0.2">
      <c r="A256" s="903"/>
      <c r="B256" s="903"/>
      <c r="C256" s="903"/>
      <c r="D256" s="903"/>
      <c r="E256" s="903"/>
      <c r="P256" s="846"/>
      <c r="R256" s="904"/>
      <c r="S256" s="904"/>
      <c r="T256" s="904"/>
      <c r="U256" s="904"/>
      <c r="V256" s="904"/>
      <c r="W256" s="904"/>
      <c r="X256" s="904"/>
      <c r="Y256" s="904"/>
    </row>
    <row r="257" spans="1:25" x14ac:dyDescent="0.2">
      <c r="A257" s="903"/>
      <c r="B257" s="903"/>
      <c r="C257" s="903"/>
      <c r="D257" s="903"/>
      <c r="E257" s="903"/>
      <c r="P257" s="846"/>
      <c r="R257" s="904"/>
      <c r="S257" s="904"/>
      <c r="T257" s="904"/>
      <c r="U257" s="904"/>
      <c r="V257" s="904"/>
      <c r="W257" s="904"/>
      <c r="X257" s="904"/>
      <c r="Y257" s="904"/>
    </row>
    <row r="258" spans="1:25" x14ac:dyDescent="0.2">
      <c r="A258" s="903"/>
      <c r="B258" s="903"/>
      <c r="C258" s="903"/>
      <c r="D258" s="903"/>
      <c r="E258" s="903"/>
      <c r="P258" s="846"/>
      <c r="R258" s="904"/>
      <c r="S258" s="904"/>
      <c r="T258" s="904"/>
      <c r="U258" s="904"/>
      <c r="V258" s="904"/>
      <c r="W258" s="904"/>
      <c r="X258" s="904"/>
      <c r="Y258" s="904"/>
    </row>
    <row r="259" spans="1:25" x14ac:dyDescent="0.2">
      <c r="A259" s="903"/>
      <c r="B259" s="903"/>
      <c r="C259" s="903"/>
      <c r="D259" s="903"/>
      <c r="E259" s="903"/>
      <c r="P259" s="846"/>
      <c r="R259" s="904"/>
      <c r="S259" s="904"/>
      <c r="T259" s="904"/>
      <c r="U259" s="904"/>
      <c r="V259" s="904"/>
      <c r="W259" s="904"/>
      <c r="X259" s="904"/>
      <c r="Y259" s="904"/>
    </row>
    <row r="260" spans="1:25" x14ac:dyDescent="0.2">
      <c r="A260" s="903"/>
      <c r="B260" s="903"/>
      <c r="C260" s="903"/>
      <c r="D260" s="903"/>
      <c r="E260" s="903"/>
      <c r="P260" s="846"/>
      <c r="R260" s="904"/>
      <c r="S260" s="904"/>
      <c r="T260" s="904"/>
      <c r="U260" s="904"/>
      <c r="V260" s="904"/>
      <c r="W260" s="904"/>
      <c r="X260" s="904"/>
      <c r="Y260" s="904"/>
    </row>
    <row r="261" spans="1:25" x14ac:dyDescent="0.2">
      <c r="A261" s="903"/>
      <c r="B261" s="903"/>
      <c r="C261" s="903"/>
      <c r="D261" s="903"/>
      <c r="E261" s="903"/>
      <c r="P261" s="846"/>
      <c r="R261" s="904"/>
      <c r="S261" s="904"/>
      <c r="T261" s="904"/>
      <c r="U261" s="904"/>
      <c r="V261" s="904"/>
      <c r="W261" s="904"/>
      <c r="X261" s="904"/>
      <c r="Y261" s="904"/>
    </row>
    <row r="262" spans="1:25" x14ac:dyDescent="0.2">
      <c r="A262" s="903"/>
      <c r="B262" s="903"/>
      <c r="C262" s="903"/>
      <c r="D262" s="903"/>
      <c r="E262" s="903"/>
      <c r="P262" s="846"/>
      <c r="R262" s="904"/>
      <c r="S262" s="904"/>
      <c r="T262" s="904"/>
      <c r="U262" s="904"/>
      <c r="V262" s="904"/>
      <c r="W262" s="904"/>
      <c r="X262" s="904"/>
      <c r="Y262" s="904"/>
    </row>
    <row r="263" spans="1:25" x14ac:dyDescent="0.2">
      <c r="A263" s="903"/>
      <c r="B263" s="903"/>
      <c r="C263" s="903"/>
      <c r="D263" s="903"/>
      <c r="E263" s="903"/>
      <c r="P263" s="846"/>
      <c r="R263" s="904"/>
      <c r="S263" s="904"/>
      <c r="T263" s="904"/>
      <c r="U263" s="904"/>
      <c r="V263" s="904"/>
      <c r="W263" s="904"/>
      <c r="X263" s="904"/>
      <c r="Y263" s="904"/>
    </row>
    <row r="264" spans="1:25" x14ac:dyDescent="0.2">
      <c r="A264" s="903"/>
      <c r="B264" s="903"/>
      <c r="C264" s="903"/>
      <c r="D264" s="903"/>
      <c r="E264" s="903"/>
      <c r="P264" s="846"/>
      <c r="R264" s="904"/>
      <c r="S264" s="904"/>
      <c r="T264" s="904"/>
      <c r="U264" s="904"/>
      <c r="V264" s="904"/>
      <c r="W264" s="904"/>
      <c r="X264" s="904"/>
      <c r="Y264" s="904"/>
    </row>
    <row r="265" spans="1:25" x14ac:dyDescent="0.2">
      <c r="A265" s="903"/>
      <c r="B265" s="903"/>
      <c r="C265" s="903"/>
      <c r="D265" s="903"/>
      <c r="E265" s="903"/>
      <c r="P265" s="846"/>
      <c r="R265" s="904"/>
      <c r="S265" s="904"/>
      <c r="T265" s="904"/>
      <c r="U265" s="904"/>
      <c r="V265" s="904"/>
      <c r="W265" s="904"/>
      <c r="X265" s="904"/>
      <c r="Y265" s="904"/>
    </row>
    <row r="266" spans="1:25" x14ac:dyDescent="0.2">
      <c r="A266" s="903"/>
      <c r="B266" s="903"/>
      <c r="C266" s="903"/>
      <c r="D266" s="903"/>
      <c r="E266" s="903"/>
      <c r="P266" s="846"/>
      <c r="R266" s="904"/>
      <c r="S266" s="904"/>
      <c r="T266" s="904"/>
      <c r="U266" s="904"/>
      <c r="V266" s="904"/>
      <c r="W266" s="904"/>
      <c r="X266" s="904"/>
      <c r="Y266" s="904"/>
    </row>
    <row r="267" spans="1:25" x14ac:dyDescent="0.2">
      <c r="A267" s="903"/>
      <c r="B267" s="903"/>
      <c r="C267" s="903"/>
      <c r="D267" s="903"/>
      <c r="E267" s="903"/>
      <c r="P267" s="846"/>
      <c r="R267" s="904"/>
      <c r="S267" s="904"/>
      <c r="T267" s="904"/>
      <c r="U267" s="904"/>
      <c r="V267" s="904"/>
      <c r="W267" s="904"/>
      <c r="X267" s="904"/>
      <c r="Y267" s="904"/>
    </row>
    <row r="268" spans="1:25" x14ac:dyDescent="0.2">
      <c r="A268" s="903"/>
      <c r="B268" s="903"/>
      <c r="C268" s="903"/>
      <c r="D268" s="903"/>
      <c r="E268" s="903"/>
      <c r="P268" s="846"/>
      <c r="R268" s="904"/>
      <c r="S268" s="904"/>
      <c r="T268" s="904"/>
      <c r="U268" s="904"/>
      <c r="V268" s="904"/>
      <c r="W268" s="904"/>
      <c r="X268" s="904"/>
      <c r="Y268" s="904"/>
    </row>
    <row r="269" spans="1:25" x14ac:dyDescent="0.2">
      <c r="A269" s="903"/>
      <c r="B269" s="903"/>
      <c r="C269" s="903"/>
      <c r="D269" s="903"/>
      <c r="E269" s="903"/>
      <c r="P269" s="846"/>
      <c r="R269" s="904"/>
      <c r="S269" s="904"/>
      <c r="T269" s="904"/>
      <c r="U269" s="904"/>
      <c r="V269" s="904"/>
      <c r="W269" s="904"/>
      <c r="X269" s="904"/>
      <c r="Y269" s="904"/>
    </row>
    <row r="270" spans="1:25" x14ac:dyDescent="0.2">
      <c r="A270" s="903"/>
      <c r="B270" s="903"/>
      <c r="C270" s="903"/>
      <c r="D270" s="903"/>
      <c r="E270" s="903"/>
      <c r="P270" s="846"/>
      <c r="R270" s="904"/>
      <c r="S270" s="904"/>
      <c r="T270" s="904"/>
      <c r="U270" s="904"/>
      <c r="V270" s="904"/>
      <c r="W270" s="904"/>
      <c r="X270" s="904"/>
      <c r="Y270" s="904"/>
    </row>
    <row r="271" spans="1:25" x14ac:dyDescent="0.2">
      <c r="A271" s="903"/>
      <c r="B271" s="903"/>
      <c r="C271" s="903"/>
      <c r="D271" s="903"/>
      <c r="E271" s="903"/>
      <c r="P271" s="846"/>
      <c r="R271" s="904"/>
      <c r="S271" s="904"/>
      <c r="T271" s="904"/>
      <c r="U271" s="904"/>
      <c r="V271" s="904"/>
      <c r="W271" s="904"/>
      <c r="X271" s="904"/>
      <c r="Y271" s="904"/>
    </row>
    <row r="272" spans="1:25" x14ac:dyDescent="0.2">
      <c r="A272" s="903"/>
      <c r="B272" s="903"/>
      <c r="C272" s="903"/>
      <c r="D272" s="903"/>
      <c r="E272" s="903"/>
      <c r="P272" s="846"/>
      <c r="R272" s="904"/>
      <c r="S272" s="904"/>
      <c r="T272" s="904"/>
      <c r="U272" s="904"/>
      <c r="V272" s="904"/>
      <c r="W272" s="904"/>
      <c r="X272" s="904"/>
      <c r="Y272" s="904"/>
    </row>
    <row r="273" spans="1:25" x14ac:dyDescent="0.2">
      <c r="A273" s="903"/>
      <c r="B273" s="903"/>
      <c r="C273" s="903"/>
      <c r="D273" s="903"/>
      <c r="E273" s="903"/>
      <c r="P273" s="846"/>
      <c r="R273" s="904"/>
      <c r="S273" s="904"/>
      <c r="T273" s="904"/>
      <c r="U273" s="904"/>
      <c r="V273" s="904"/>
      <c r="W273" s="904"/>
      <c r="X273" s="904"/>
      <c r="Y273" s="904"/>
    </row>
    <row r="274" spans="1:25" x14ac:dyDescent="0.2">
      <c r="A274" s="903"/>
      <c r="B274" s="903"/>
      <c r="C274" s="903"/>
      <c r="D274" s="903"/>
      <c r="E274" s="903"/>
      <c r="P274" s="846"/>
      <c r="R274" s="904"/>
      <c r="S274" s="904"/>
      <c r="T274" s="904"/>
      <c r="U274" s="904"/>
      <c r="V274" s="904"/>
      <c r="W274" s="904"/>
      <c r="X274" s="904"/>
      <c r="Y274" s="904"/>
    </row>
    <row r="275" spans="1:25" x14ac:dyDescent="0.2">
      <c r="A275" s="903"/>
      <c r="B275" s="903"/>
      <c r="C275" s="903"/>
      <c r="D275" s="903"/>
      <c r="E275" s="903"/>
      <c r="P275" s="846"/>
      <c r="R275" s="904"/>
      <c r="S275" s="904"/>
      <c r="T275" s="904"/>
      <c r="U275" s="904"/>
      <c r="V275" s="904"/>
      <c r="W275" s="904"/>
      <c r="X275" s="904"/>
      <c r="Y275" s="904"/>
    </row>
    <row r="276" spans="1:25" x14ac:dyDescent="0.2">
      <c r="A276" s="903"/>
      <c r="B276" s="903"/>
      <c r="C276" s="903"/>
      <c r="D276" s="903"/>
      <c r="E276" s="903"/>
      <c r="P276" s="846"/>
      <c r="R276" s="904"/>
      <c r="S276" s="904"/>
      <c r="T276" s="904"/>
      <c r="U276" s="904"/>
      <c r="V276" s="904"/>
      <c r="W276" s="904"/>
      <c r="X276" s="904"/>
      <c r="Y276" s="904"/>
    </row>
    <row r="277" spans="1:25" x14ac:dyDescent="0.2">
      <c r="A277" s="903"/>
      <c r="B277" s="903"/>
      <c r="C277" s="903"/>
      <c r="D277" s="903"/>
      <c r="E277" s="903"/>
      <c r="P277" s="846"/>
      <c r="R277" s="904"/>
      <c r="S277" s="904"/>
      <c r="T277" s="904"/>
      <c r="U277" s="904"/>
      <c r="V277" s="904"/>
      <c r="W277" s="904"/>
      <c r="X277" s="904"/>
      <c r="Y277" s="904"/>
    </row>
    <row r="278" spans="1:25" x14ac:dyDescent="0.2">
      <c r="A278" s="903"/>
      <c r="B278" s="903"/>
      <c r="C278" s="903"/>
      <c r="D278" s="903"/>
      <c r="E278" s="903"/>
      <c r="P278" s="846"/>
      <c r="R278" s="904"/>
      <c r="S278" s="904"/>
      <c r="T278" s="904"/>
      <c r="U278" s="904"/>
      <c r="V278" s="904"/>
      <c r="W278" s="904"/>
      <c r="X278" s="904"/>
      <c r="Y278" s="904"/>
    </row>
    <row r="279" spans="1:25" x14ac:dyDescent="0.2">
      <c r="A279" s="903"/>
      <c r="B279" s="903"/>
      <c r="C279" s="903"/>
      <c r="D279" s="903"/>
      <c r="E279" s="903"/>
      <c r="P279" s="846"/>
      <c r="R279" s="904"/>
      <c r="S279" s="904"/>
      <c r="T279" s="904"/>
      <c r="U279" s="904"/>
      <c r="V279" s="904"/>
      <c r="W279" s="904"/>
      <c r="X279" s="904"/>
      <c r="Y279" s="904"/>
    </row>
    <row r="280" spans="1:25" x14ac:dyDescent="0.2">
      <c r="A280" s="903"/>
      <c r="B280" s="903"/>
      <c r="C280" s="903"/>
      <c r="D280" s="903"/>
      <c r="E280" s="903"/>
      <c r="P280" s="846"/>
      <c r="R280" s="904"/>
      <c r="S280" s="904"/>
      <c r="T280" s="904"/>
      <c r="U280" s="904"/>
      <c r="V280" s="904"/>
      <c r="W280" s="904"/>
      <c r="X280" s="904"/>
      <c r="Y280" s="904"/>
    </row>
    <row r="281" spans="1:25" x14ac:dyDescent="0.2">
      <c r="A281" s="903"/>
      <c r="B281" s="903"/>
      <c r="C281" s="903"/>
      <c r="D281" s="903"/>
      <c r="E281" s="903"/>
      <c r="P281" s="846"/>
      <c r="R281" s="904"/>
      <c r="S281" s="904"/>
      <c r="T281" s="904"/>
      <c r="U281" s="904"/>
      <c r="V281" s="904"/>
      <c r="W281" s="904"/>
      <c r="X281" s="904"/>
      <c r="Y281" s="904"/>
    </row>
    <row r="282" spans="1:25" x14ac:dyDescent="0.2">
      <c r="A282" s="903"/>
      <c r="B282" s="903"/>
      <c r="C282" s="903"/>
      <c r="D282" s="903"/>
      <c r="E282" s="903"/>
      <c r="P282" s="846"/>
      <c r="R282" s="904"/>
      <c r="S282" s="904"/>
      <c r="T282" s="904"/>
      <c r="U282" s="904"/>
      <c r="V282" s="904"/>
      <c r="W282" s="904"/>
      <c r="X282" s="904"/>
      <c r="Y282" s="904"/>
    </row>
    <row r="283" spans="1:25" x14ac:dyDescent="0.2">
      <c r="A283" s="903"/>
      <c r="B283" s="903"/>
      <c r="C283" s="903"/>
      <c r="D283" s="903"/>
      <c r="E283" s="903"/>
      <c r="P283" s="846"/>
      <c r="R283" s="904"/>
      <c r="S283" s="904"/>
      <c r="T283" s="904"/>
      <c r="U283" s="904"/>
      <c r="V283" s="904"/>
      <c r="W283" s="904"/>
      <c r="X283" s="904"/>
      <c r="Y283" s="904"/>
    </row>
    <row r="284" spans="1:25" x14ac:dyDescent="0.2">
      <c r="A284" s="903"/>
      <c r="B284" s="903"/>
      <c r="C284" s="903"/>
      <c r="D284" s="903"/>
      <c r="E284" s="903"/>
      <c r="P284" s="846"/>
      <c r="R284" s="904"/>
      <c r="S284" s="904"/>
      <c r="T284" s="904"/>
      <c r="U284" s="904"/>
      <c r="V284" s="904"/>
      <c r="W284" s="904"/>
      <c r="X284" s="904"/>
      <c r="Y284" s="904"/>
    </row>
    <row r="285" spans="1:25" x14ac:dyDescent="0.2">
      <c r="A285" s="903"/>
      <c r="B285" s="903"/>
      <c r="C285" s="903"/>
      <c r="D285" s="903"/>
      <c r="E285" s="903"/>
      <c r="P285" s="846"/>
      <c r="R285" s="904"/>
      <c r="S285" s="904"/>
      <c r="T285" s="904"/>
      <c r="U285" s="904"/>
      <c r="V285" s="904"/>
      <c r="W285" s="904"/>
      <c r="X285" s="904"/>
      <c r="Y285" s="904"/>
    </row>
    <row r="286" spans="1:25" x14ac:dyDescent="0.2">
      <c r="A286" s="903"/>
      <c r="B286" s="903"/>
      <c r="C286" s="903"/>
      <c r="D286" s="903"/>
      <c r="E286" s="903"/>
      <c r="P286" s="846"/>
      <c r="R286" s="904"/>
      <c r="S286" s="904"/>
      <c r="T286" s="904"/>
      <c r="U286" s="904"/>
      <c r="V286" s="904"/>
      <c r="W286" s="904"/>
      <c r="X286" s="904"/>
      <c r="Y286" s="904"/>
    </row>
    <row r="287" spans="1:25" x14ac:dyDescent="0.2">
      <c r="A287" s="903"/>
      <c r="B287" s="903"/>
      <c r="C287" s="903"/>
      <c r="D287" s="903"/>
      <c r="E287" s="903"/>
      <c r="R287" s="904"/>
      <c r="S287" s="904"/>
      <c r="T287" s="904"/>
      <c r="U287" s="904"/>
      <c r="V287" s="904"/>
      <c r="W287" s="904"/>
      <c r="X287" s="904"/>
      <c r="Y287" s="904"/>
    </row>
    <row r="288" spans="1:25" x14ac:dyDescent="0.2">
      <c r="A288" s="903"/>
      <c r="B288" s="903"/>
      <c r="C288" s="903"/>
      <c r="D288" s="903"/>
      <c r="E288" s="903"/>
      <c r="R288" s="904"/>
      <c r="S288" s="904"/>
      <c r="T288" s="904"/>
      <c r="U288" s="904"/>
      <c r="V288" s="904"/>
      <c r="W288" s="904"/>
      <c r="X288" s="904"/>
      <c r="Y288" s="904"/>
    </row>
    <row r="289" spans="1:25" x14ac:dyDescent="0.2">
      <c r="A289" s="903"/>
      <c r="B289" s="903"/>
      <c r="C289" s="903"/>
      <c r="D289" s="903"/>
      <c r="E289" s="903"/>
      <c r="R289" s="904"/>
      <c r="S289" s="904"/>
      <c r="T289" s="904"/>
      <c r="U289" s="904"/>
      <c r="V289" s="904"/>
      <c r="W289" s="904"/>
      <c r="X289" s="904"/>
      <c r="Y289" s="904"/>
    </row>
    <row r="290" spans="1:25" x14ac:dyDescent="0.2">
      <c r="A290" s="903"/>
      <c r="B290" s="903"/>
      <c r="C290" s="903"/>
      <c r="D290" s="903"/>
      <c r="E290" s="903"/>
      <c r="R290" s="904"/>
      <c r="S290" s="904"/>
      <c r="T290" s="904"/>
      <c r="U290" s="904"/>
      <c r="V290" s="904"/>
      <c r="W290" s="904"/>
      <c r="X290" s="904"/>
      <c r="Y290" s="904"/>
    </row>
    <row r="291" spans="1:25" x14ac:dyDescent="0.2">
      <c r="A291" s="903"/>
      <c r="B291" s="903"/>
      <c r="C291" s="903"/>
      <c r="D291" s="903"/>
      <c r="E291" s="903"/>
      <c r="R291" s="904"/>
      <c r="S291" s="904"/>
      <c r="T291" s="904"/>
      <c r="U291" s="904"/>
      <c r="V291" s="904"/>
      <c r="W291" s="904"/>
      <c r="X291" s="904"/>
      <c r="Y291" s="904"/>
    </row>
    <row r="292" spans="1:25" x14ac:dyDescent="0.2">
      <c r="A292" s="903"/>
      <c r="B292" s="903"/>
      <c r="C292" s="903"/>
      <c r="D292" s="903"/>
      <c r="E292" s="903"/>
      <c r="R292" s="904"/>
      <c r="S292" s="904"/>
      <c r="T292" s="904"/>
      <c r="U292" s="904"/>
      <c r="V292" s="904"/>
      <c r="W292" s="904"/>
      <c r="X292" s="904"/>
      <c r="Y292" s="904"/>
    </row>
    <row r="293" spans="1:25" x14ac:dyDescent="0.2">
      <c r="A293" s="903"/>
      <c r="B293" s="903"/>
      <c r="C293" s="903"/>
      <c r="D293" s="903"/>
      <c r="E293" s="903"/>
      <c r="R293" s="904"/>
      <c r="S293" s="904"/>
      <c r="T293" s="904"/>
      <c r="U293" s="904"/>
      <c r="V293" s="904"/>
      <c r="W293" s="904"/>
      <c r="X293" s="904"/>
      <c r="Y293" s="904"/>
    </row>
    <row r="294" spans="1:25" x14ac:dyDescent="0.2">
      <c r="A294" s="903"/>
      <c r="B294" s="903"/>
      <c r="C294" s="903"/>
      <c r="D294" s="903"/>
      <c r="E294" s="903"/>
      <c r="R294" s="904"/>
      <c r="S294" s="904"/>
      <c r="T294" s="904"/>
      <c r="U294" s="904"/>
      <c r="V294" s="904"/>
      <c r="W294" s="904"/>
      <c r="X294" s="904"/>
      <c r="Y294" s="904"/>
    </row>
    <row r="295" spans="1:25" x14ac:dyDescent="0.2">
      <c r="A295" s="903"/>
      <c r="B295" s="903"/>
      <c r="C295" s="903"/>
      <c r="D295" s="903"/>
      <c r="E295" s="903"/>
      <c r="R295" s="904"/>
      <c r="S295" s="904"/>
      <c r="T295" s="904"/>
      <c r="U295" s="904"/>
      <c r="V295" s="904"/>
      <c r="W295" s="904"/>
      <c r="X295" s="904"/>
      <c r="Y295" s="904"/>
    </row>
    <row r="296" spans="1:25" x14ac:dyDescent="0.2">
      <c r="A296" s="903"/>
      <c r="B296" s="903"/>
      <c r="C296" s="903"/>
      <c r="D296" s="903"/>
      <c r="E296" s="903"/>
      <c r="R296" s="904"/>
      <c r="S296" s="904"/>
      <c r="T296" s="904"/>
      <c r="U296" s="904"/>
      <c r="V296" s="904"/>
      <c r="W296" s="904"/>
      <c r="X296" s="904"/>
      <c r="Y296" s="904"/>
    </row>
    <row r="297" spans="1:25" x14ac:dyDescent="0.2">
      <c r="A297" s="903"/>
      <c r="B297" s="903"/>
      <c r="C297" s="903"/>
      <c r="D297" s="903"/>
      <c r="E297" s="903"/>
      <c r="R297" s="904"/>
      <c r="S297" s="904"/>
      <c r="T297" s="904"/>
      <c r="U297" s="904"/>
      <c r="V297" s="904"/>
      <c r="W297" s="904"/>
      <c r="X297" s="904"/>
      <c r="Y297" s="904"/>
    </row>
    <row r="298" spans="1:25" x14ac:dyDescent="0.2">
      <c r="A298" s="903"/>
      <c r="B298" s="903"/>
      <c r="C298" s="903"/>
      <c r="D298" s="903"/>
      <c r="E298" s="903"/>
      <c r="R298" s="904"/>
      <c r="S298" s="904"/>
      <c r="T298" s="904"/>
      <c r="U298" s="904"/>
      <c r="V298" s="904"/>
      <c r="W298" s="904"/>
      <c r="X298" s="904"/>
      <c r="Y298" s="904"/>
    </row>
    <row r="299" spans="1:25" x14ac:dyDescent="0.2">
      <c r="A299" s="903"/>
      <c r="B299" s="903"/>
      <c r="C299" s="903"/>
      <c r="D299" s="903"/>
      <c r="E299" s="903"/>
      <c r="R299" s="904"/>
      <c r="S299" s="904"/>
      <c r="T299" s="904"/>
      <c r="U299" s="904"/>
      <c r="V299" s="904"/>
      <c r="W299" s="904"/>
      <c r="X299" s="904"/>
      <c r="Y299" s="904"/>
    </row>
    <row r="300" spans="1:25" x14ac:dyDescent="0.2">
      <c r="A300" s="903"/>
      <c r="B300" s="903"/>
      <c r="C300" s="903"/>
      <c r="D300" s="903"/>
      <c r="E300" s="903"/>
      <c r="R300" s="904"/>
      <c r="S300" s="904"/>
      <c r="T300" s="904"/>
      <c r="U300" s="904"/>
      <c r="V300" s="904"/>
      <c r="W300" s="904"/>
      <c r="X300" s="904"/>
      <c r="Y300" s="904"/>
    </row>
    <row r="301" spans="1:25" x14ac:dyDescent="0.2">
      <c r="A301" s="903"/>
      <c r="B301" s="903"/>
      <c r="C301" s="903"/>
      <c r="D301" s="903"/>
      <c r="E301" s="903"/>
      <c r="P301" s="906"/>
      <c r="R301" s="904"/>
      <c r="S301" s="904"/>
      <c r="T301" s="904"/>
      <c r="U301" s="904"/>
      <c r="V301" s="904"/>
      <c r="W301" s="904"/>
      <c r="X301" s="904"/>
      <c r="Y301" s="904"/>
    </row>
    <row r="302" spans="1:25" x14ac:dyDescent="0.2">
      <c r="A302" s="903"/>
      <c r="B302" s="903"/>
      <c r="C302" s="903"/>
      <c r="D302" s="903"/>
      <c r="E302" s="903"/>
      <c r="R302" s="904"/>
      <c r="S302" s="904"/>
      <c r="T302" s="904"/>
      <c r="U302" s="904"/>
      <c r="V302" s="904"/>
      <c r="W302" s="904"/>
      <c r="X302" s="904"/>
      <c r="Y302" s="904"/>
    </row>
    <row r="303" spans="1:25" x14ac:dyDescent="0.2">
      <c r="A303" s="903"/>
      <c r="B303" s="903"/>
      <c r="C303" s="903"/>
      <c r="D303" s="903"/>
      <c r="E303" s="903"/>
      <c r="R303" s="904"/>
      <c r="S303" s="904"/>
      <c r="T303" s="904"/>
      <c r="U303" s="904"/>
      <c r="V303" s="904"/>
      <c r="W303" s="904"/>
      <c r="X303" s="904"/>
      <c r="Y303" s="904"/>
    </row>
    <row r="304" spans="1:25" x14ac:dyDescent="0.2">
      <c r="A304" s="903"/>
      <c r="B304" s="903"/>
      <c r="C304" s="903"/>
      <c r="D304" s="903"/>
      <c r="E304" s="903"/>
      <c r="R304" s="904"/>
      <c r="S304" s="904"/>
      <c r="T304" s="904"/>
      <c r="U304" s="904"/>
      <c r="V304" s="904"/>
      <c r="W304" s="904"/>
      <c r="X304" s="904"/>
      <c r="Y304" s="904"/>
    </row>
    <row r="305" spans="1:25" x14ac:dyDescent="0.2">
      <c r="A305" s="903"/>
      <c r="B305" s="903"/>
      <c r="C305" s="903"/>
      <c r="D305" s="903"/>
      <c r="E305" s="903"/>
      <c r="R305" s="904"/>
      <c r="S305" s="904"/>
      <c r="T305" s="904"/>
      <c r="U305" s="904"/>
      <c r="V305" s="904"/>
      <c r="W305" s="904"/>
      <c r="X305" s="904"/>
      <c r="Y305" s="904"/>
    </row>
    <row r="306" spans="1:25" x14ac:dyDescent="0.2">
      <c r="A306" s="903"/>
      <c r="B306" s="903"/>
      <c r="C306" s="903"/>
      <c r="D306" s="903"/>
      <c r="E306" s="903"/>
      <c r="R306" s="904"/>
      <c r="S306" s="904"/>
      <c r="T306" s="904"/>
      <c r="U306" s="904"/>
      <c r="V306" s="904"/>
      <c r="W306" s="904"/>
      <c r="X306" s="904"/>
      <c r="Y306" s="904"/>
    </row>
    <row r="307" spans="1:25" x14ac:dyDescent="0.2">
      <c r="A307" s="903"/>
      <c r="B307" s="903"/>
      <c r="C307" s="903"/>
      <c r="D307" s="903"/>
      <c r="E307" s="903"/>
      <c r="R307" s="904"/>
      <c r="S307" s="904"/>
      <c r="T307" s="904"/>
      <c r="U307" s="904"/>
      <c r="V307" s="904"/>
      <c r="W307" s="904"/>
      <c r="X307" s="904"/>
      <c r="Y307" s="904"/>
    </row>
    <row r="308" spans="1:25" x14ac:dyDescent="0.2">
      <c r="A308" s="903"/>
      <c r="B308" s="903"/>
      <c r="C308" s="903"/>
      <c r="D308" s="903"/>
      <c r="E308" s="903"/>
      <c r="R308" s="904"/>
      <c r="S308" s="904"/>
      <c r="T308" s="904"/>
      <c r="U308" s="904"/>
      <c r="V308" s="904"/>
      <c r="W308" s="904"/>
      <c r="X308" s="904"/>
      <c r="Y308" s="904"/>
    </row>
    <row r="309" spans="1:25" x14ac:dyDescent="0.2">
      <c r="A309" s="903"/>
      <c r="B309" s="903"/>
      <c r="C309" s="903"/>
      <c r="D309" s="903"/>
      <c r="E309" s="903"/>
      <c r="R309" s="904"/>
      <c r="S309" s="904"/>
      <c r="T309" s="904"/>
      <c r="U309" s="904"/>
      <c r="V309" s="904"/>
      <c r="W309" s="904"/>
      <c r="X309" s="904"/>
      <c r="Y309" s="904"/>
    </row>
    <row r="310" spans="1:25" x14ac:dyDescent="0.2">
      <c r="A310" s="903"/>
      <c r="B310" s="903"/>
      <c r="C310" s="903"/>
      <c r="D310" s="903"/>
      <c r="E310" s="903"/>
      <c r="P310" s="906"/>
      <c r="R310" s="904"/>
      <c r="S310" s="904"/>
      <c r="T310" s="904"/>
      <c r="U310" s="904"/>
      <c r="V310" s="904"/>
      <c r="W310" s="904"/>
      <c r="X310" s="904"/>
      <c r="Y310" s="904"/>
    </row>
    <row r="311" spans="1:25" x14ac:dyDescent="0.2">
      <c r="A311" s="903"/>
      <c r="B311" s="903"/>
      <c r="C311" s="903"/>
      <c r="D311" s="903"/>
      <c r="E311" s="903"/>
      <c r="R311" s="904"/>
      <c r="S311" s="904"/>
      <c r="T311" s="904"/>
      <c r="U311" s="904"/>
      <c r="V311" s="904"/>
      <c r="W311" s="904"/>
      <c r="X311" s="904"/>
      <c r="Y311" s="904"/>
    </row>
    <row r="312" spans="1:25" x14ac:dyDescent="0.2">
      <c r="A312" s="903"/>
      <c r="B312" s="903"/>
      <c r="C312" s="903"/>
      <c r="D312" s="903"/>
      <c r="E312" s="903"/>
      <c r="R312" s="904"/>
      <c r="S312" s="904"/>
      <c r="T312" s="904"/>
      <c r="U312" s="904"/>
      <c r="V312" s="904"/>
      <c r="W312" s="904"/>
      <c r="X312" s="904"/>
      <c r="Y312" s="904"/>
    </row>
    <row r="313" spans="1:25" x14ac:dyDescent="0.2">
      <c r="A313" s="903"/>
      <c r="B313" s="903"/>
      <c r="C313" s="903"/>
      <c r="D313" s="903"/>
      <c r="E313" s="903"/>
      <c r="R313" s="904"/>
      <c r="S313" s="904"/>
      <c r="T313" s="904"/>
      <c r="U313" s="904"/>
      <c r="V313" s="904"/>
      <c r="W313" s="904"/>
      <c r="X313" s="904"/>
      <c r="Y313" s="904"/>
    </row>
    <row r="314" spans="1:25" x14ac:dyDescent="0.2">
      <c r="A314" s="903"/>
      <c r="B314" s="903"/>
      <c r="C314" s="903"/>
      <c r="D314" s="903"/>
      <c r="E314" s="903"/>
      <c r="R314" s="904"/>
      <c r="S314" s="904"/>
      <c r="T314" s="904"/>
      <c r="U314" s="904"/>
      <c r="V314" s="904"/>
      <c r="W314" s="904"/>
      <c r="X314" s="904"/>
      <c r="Y314" s="904"/>
    </row>
    <row r="315" spans="1:25" x14ac:dyDescent="0.2">
      <c r="A315" s="903"/>
      <c r="B315" s="903"/>
      <c r="C315" s="903"/>
      <c r="D315" s="903"/>
      <c r="E315" s="903"/>
      <c r="R315" s="904"/>
      <c r="S315" s="904"/>
      <c r="T315" s="904"/>
      <c r="U315" s="904"/>
      <c r="V315" s="904"/>
      <c r="W315" s="904"/>
      <c r="X315" s="904"/>
      <c r="Y315" s="904"/>
    </row>
    <row r="316" spans="1:25" x14ac:dyDescent="0.2">
      <c r="A316" s="903"/>
      <c r="B316" s="903"/>
      <c r="C316" s="903"/>
      <c r="D316" s="903"/>
      <c r="E316" s="903"/>
      <c r="R316" s="904"/>
      <c r="S316" s="904"/>
      <c r="T316" s="904"/>
      <c r="U316" s="904"/>
      <c r="V316" s="904"/>
      <c r="W316" s="904"/>
      <c r="X316" s="904"/>
      <c r="Y316" s="904"/>
    </row>
    <row r="317" spans="1:25" x14ac:dyDescent="0.2">
      <c r="A317" s="903"/>
      <c r="B317" s="903"/>
      <c r="C317" s="903"/>
      <c r="D317" s="903"/>
      <c r="E317" s="903"/>
      <c r="R317" s="904"/>
      <c r="S317" s="904"/>
      <c r="T317" s="904"/>
      <c r="U317" s="904"/>
      <c r="V317" s="904"/>
      <c r="W317" s="904"/>
      <c r="X317" s="904"/>
      <c r="Y317" s="904"/>
    </row>
    <row r="318" spans="1:25" x14ac:dyDescent="0.2">
      <c r="A318" s="903"/>
      <c r="B318" s="903"/>
      <c r="C318" s="903"/>
      <c r="D318" s="903"/>
      <c r="E318" s="903"/>
      <c r="R318" s="904"/>
      <c r="S318" s="904"/>
      <c r="T318" s="904"/>
      <c r="U318" s="904"/>
      <c r="V318" s="904"/>
      <c r="W318" s="904"/>
      <c r="X318" s="904"/>
      <c r="Y318" s="904"/>
    </row>
    <row r="319" spans="1:25" x14ac:dyDescent="0.2">
      <c r="A319" s="903"/>
      <c r="B319" s="903"/>
      <c r="C319" s="903"/>
      <c r="D319" s="903"/>
      <c r="E319" s="903"/>
      <c r="R319" s="904"/>
      <c r="S319" s="904"/>
      <c r="T319" s="904"/>
      <c r="U319" s="904"/>
      <c r="V319" s="904"/>
      <c r="W319" s="904"/>
      <c r="X319" s="904"/>
      <c r="Y319" s="904"/>
    </row>
    <row r="320" spans="1:25" x14ac:dyDescent="0.2">
      <c r="A320" s="903"/>
      <c r="B320" s="903"/>
      <c r="C320" s="903"/>
      <c r="D320" s="903"/>
      <c r="E320" s="903"/>
      <c r="R320" s="904"/>
      <c r="S320" s="904"/>
      <c r="T320" s="904"/>
      <c r="U320" s="904"/>
      <c r="V320" s="904"/>
      <c r="W320" s="904"/>
      <c r="X320" s="904"/>
      <c r="Y320" s="904"/>
    </row>
    <row r="321" spans="1:25" x14ac:dyDescent="0.2">
      <c r="A321" s="903"/>
      <c r="B321" s="903"/>
      <c r="C321" s="903"/>
      <c r="D321" s="903"/>
      <c r="E321" s="903"/>
      <c r="R321" s="904"/>
      <c r="S321" s="904"/>
      <c r="T321" s="904"/>
      <c r="U321" s="904"/>
      <c r="V321" s="904"/>
      <c r="W321" s="904"/>
      <c r="X321" s="904"/>
      <c r="Y321" s="904"/>
    </row>
    <row r="322" spans="1:25" x14ac:dyDescent="0.2">
      <c r="A322" s="903"/>
      <c r="B322" s="903"/>
      <c r="C322" s="903"/>
      <c r="D322" s="903"/>
      <c r="E322" s="903"/>
      <c r="R322" s="904"/>
      <c r="S322" s="904"/>
      <c r="T322" s="904"/>
      <c r="U322" s="904"/>
      <c r="V322" s="904"/>
      <c r="W322" s="904"/>
      <c r="X322" s="904"/>
      <c r="Y322" s="904"/>
    </row>
    <row r="323" spans="1:25" x14ac:dyDescent="0.2">
      <c r="A323" s="903"/>
      <c r="B323" s="903"/>
      <c r="C323" s="903"/>
      <c r="D323" s="903"/>
      <c r="E323" s="903"/>
      <c r="R323" s="904"/>
      <c r="S323" s="904"/>
      <c r="T323" s="904"/>
      <c r="U323" s="904"/>
      <c r="V323" s="904"/>
      <c r="W323" s="904"/>
      <c r="X323" s="904"/>
      <c r="Y323" s="904"/>
    </row>
    <row r="324" spans="1:25" x14ac:dyDescent="0.2">
      <c r="A324" s="903"/>
      <c r="B324" s="903"/>
      <c r="C324" s="903"/>
      <c r="D324" s="903"/>
      <c r="E324" s="903"/>
      <c r="R324" s="904"/>
      <c r="S324" s="904"/>
      <c r="T324" s="904"/>
      <c r="U324" s="904"/>
      <c r="V324" s="904"/>
      <c r="W324" s="904"/>
      <c r="X324" s="904"/>
      <c r="Y324" s="904"/>
    </row>
    <row r="325" spans="1:25" x14ac:dyDescent="0.2">
      <c r="A325" s="903"/>
      <c r="B325" s="903"/>
      <c r="C325" s="903"/>
      <c r="D325" s="903"/>
      <c r="E325" s="903"/>
      <c r="R325" s="904"/>
      <c r="S325" s="904"/>
      <c r="T325" s="904"/>
      <c r="U325" s="904"/>
      <c r="V325" s="904"/>
      <c r="W325" s="904"/>
      <c r="X325" s="904"/>
      <c r="Y325" s="904"/>
    </row>
    <row r="326" spans="1:25" x14ac:dyDescent="0.2">
      <c r="A326" s="903"/>
      <c r="B326" s="903"/>
      <c r="C326" s="903"/>
      <c r="D326" s="903"/>
      <c r="E326" s="903"/>
      <c r="R326" s="904"/>
      <c r="S326" s="904"/>
      <c r="T326" s="904"/>
      <c r="U326" s="904"/>
      <c r="V326" s="904"/>
      <c r="W326" s="904"/>
      <c r="X326" s="904"/>
      <c r="Y326" s="904"/>
    </row>
    <row r="327" spans="1:25" x14ac:dyDescent="0.2">
      <c r="A327" s="903"/>
      <c r="B327" s="903"/>
      <c r="C327" s="903"/>
      <c r="D327" s="903"/>
      <c r="E327" s="903"/>
      <c r="R327" s="904"/>
      <c r="S327" s="904"/>
      <c r="T327" s="904"/>
      <c r="U327" s="904"/>
      <c r="V327" s="904"/>
      <c r="W327" s="904"/>
      <c r="X327" s="904"/>
      <c r="Y327" s="904"/>
    </row>
    <row r="328" spans="1:25" x14ac:dyDescent="0.2">
      <c r="A328" s="903"/>
      <c r="B328" s="903"/>
      <c r="C328" s="903"/>
      <c r="D328" s="903"/>
      <c r="E328" s="903"/>
      <c r="R328" s="904"/>
      <c r="S328" s="904"/>
      <c r="T328" s="904"/>
      <c r="U328" s="904"/>
      <c r="V328" s="904"/>
      <c r="W328" s="904"/>
      <c r="X328" s="904"/>
      <c r="Y328" s="904"/>
    </row>
    <row r="329" spans="1:25" x14ac:dyDescent="0.2">
      <c r="A329" s="903"/>
      <c r="B329" s="903"/>
      <c r="C329" s="903"/>
      <c r="D329" s="903"/>
      <c r="E329" s="903"/>
      <c r="P329" s="906"/>
      <c r="R329" s="904"/>
      <c r="S329" s="904"/>
      <c r="T329" s="904"/>
      <c r="U329" s="904"/>
      <c r="V329" s="904"/>
      <c r="W329" s="904"/>
      <c r="X329" s="904"/>
      <c r="Y329" s="904"/>
    </row>
    <row r="330" spans="1:25" x14ac:dyDescent="0.2">
      <c r="A330" s="903"/>
      <c r="B330" s="903"/>
      <c r="C330" s="903"/>
      <c r="D330" s="903"/>
      <c r="E330" s="903"/>
      <c r="R330" s="904"/>
      <c r="S330" s="904"/>
      <c r="T330" s="904"/>
      <c r="U330" s="904"/>
      <c r="V330" s="904"/>
      <c r="W330" s="904"/>
      <c r="X330" s="904"/>
      <c r="Y330" s="904"/>
    </row>
    <row r="331" spans="1:25" x14ac:dyDescent="0.2">
      <c r="A331" s="903"/>
      <c r="B331" s="903"/>
      <c r="C331" s="903"/>
      <c r="D331" s="903"/>
      <c r="E331" s="903"/>
      <c r="R331" s="904"/>
      <c r="S331" s="904"/>
      <c r="T331" s="904"/>
      <c r="U331" s="904"/>
      <c r="V331" s="904"/>
      <c r="W331" s="904"/>
      <c r="X331" s="904"/>
      <c r="Y331" s="904"/>
    </row>
    <row r="332" spans="1:25" x14ac:dyDescent="0.2">
      <c r="A332" s="903"/>
      <c r="B332" s="903"/>
      <c r="C332" s="903"/>
      <c r="D332" s="903"/>
      <c r="E332" s="903"/>
      <c r="R332" s="904"/>
      <c r="S332" s="904"/>
      <c r="T332" s="904"/>
      <c r="U332" s="904"/>
      <c r="V332" s="904"/>
      <c r="W332" s="904"/>
      <c r="X332" s="904"/>
      <c r="Y332" s="904"/>
    </row>
    <row r="333" spans="1:25" x14ac:dyDescent="0.2">
      <c r="A333" s="903"/>
      <c r="B333" s="903"/>
      <c r="C333" s="903"/>
      <c r="D333" s="903"/>
      <c r="E333" s="903"/>
      <c r="P333" s="906"/>
      <c r="R333" s="904"/>
      <c r="S333" s="904"/>
      <c r="T333" s="904"/>
      <c r="U333" s="904"/>
      <c r="V333" s="904"/>
      <c r="W333" s="904"/>
      <c r="X333" s="904"/>
      <c r="Y333" s="904"/>
    </row>
    <row r="334" spans="1:25" x14ac:dyDescent="0.2">
      <c r="A334" s="903"/>
      <c r="B334" s="903"/>
      <c r="C334" s="903"/>
      <c r="D334" s="903"/>
      <c r="E334" s="903"/>
      <c r="R334" s="904"/>
      <c r="S334" s="904"/>
      <c r="T334" s="904"/>
      <c r="U334" s="904"/>
      <c r="V334" s="904"/>
      <c r="W334" s="904"/>
      <c r="X334" s="904"/>
      <c r="Y334" s="904"/>
    </row>
    <row r="335" spans="1:25" x14ac:dyDescent="0.2">
      <c r="A335" s="903"/>
      <c r="B335" s="903"/>
      <c r="C335" s="903"/>
      <c r="D335" s="903"/>
      <c r="E335" s="903"/>
      <c r="R335" s="904"/>
      <c r="S335" s="904"/>
      <c r="T335" s="904"/>
      <c r="U335" s="904"/>
      <c r="V335" s="904"/>
      <c r="W335" s="904"/>
      <c r="X335" s="904"/>
      <c r="Y335" s="904"/>
    </row>
    <row r="336" spans="1:25" x14ac:dyDescent="0.2">
      <c r="A336" s="903"/>
      <c r="B336" s="903"/>
      <c r="C336" s="903"/>
      <c r="D336" s="903"/>
      <c r="E336" s="903"/>
      <c r="R336" s="904"/>
      <c r="S336" s="904"/>
      <c r="T336" s="904"/>
      <c r="U336" s="904"/>
      <c r="V336" s="904"/>
      <c r="W336" s="904"/>
      <c r="X336" s="904"/>
      <c r="Y336" s="904"/>
    </row>
    <row r="337" spans="1:25" x14ac:dyDescent="0.2">
      <c r="A337" s="903"/>
      <c r="B337" s="903"/>
      <c r="C337" s="903"/>
      <c r="D337" s="903"/>
      <c r="E337" s="903"/>
      <c r="R337" s="904"/>
      <c r="S337" s="904"/>
      <c r="T337" s="904"/>
      <c r="U337" s="904"/>
      <c r="V337" s="904"/>
      <c r="W337" s="904"/>
      <c r="X337" s="904"/>
      <c r="Y337" s="904"/>
    </row>
    <row r="338" spans="1:25" x14ac:dyDescent="0.2">
      <c r="A338" s="903"/>
      <c r="B338" s="903"/>
      <c r="C338" s="903"/>
      <c r="D338" s="903"/>
      <c r="E338" s="903"/>
      <c r="R338" s="904"/>
      <c r="S338" s="904"/>
      <c r="T338" s="904"/>
      <c r="U338" s="904"/>
      <c r="V338" s="904"/>
      <c r="W338" s="904"/>
      <c r="X338" s="904"/>
      <c r="Y338" s="904"/>
    </row>
    <row r="339" spans="1:25" x14ac:dyDescent="0.2">
      <c r="A339" s="903"/>
      <c r="B339" s="903"/>
      <c r="C339" s="903"/>
      <c r="D339" s="903"/>
      <c r="E339" s="903"/>
      <c r="R339" s="904"/>
      <c r="S339" s="904"/>
      <c r="T339" s="904"/>
      <c r="U339" s="904"/>
      <c r="V339" s="904"/>
      <c r="W339" s="904"/>
      <c r="X339" s="904"/>
      <c r="Y339" s="904"/>
    </row>
    <row r="340" spans="1:25" x14ac:dyDescent="0.2">
      <c r="A340" s="903"/>
      <c r="B340" s="903"/>
      <c r="C340" s="903"/>
      <c r="D340" s="903"/>
      <c r="E340" s="903"/>
      <c r="R340" s="904"/>
      <c r="S340" s="904"/>
      <c r="T340" s="904"/>
      <c r="U340" s="904"/>
      <c r="V340" s="904"/>
      <c r="W340" s="904"/>
      <c r="X340" s="904"/>
      <c r="Y340" s="904"/>
    </row>
    <row r="341" spans="1:25" x14ac:dyDescent="0.2">
      <c r="A341" s="903"/>
      <c r="B341" s="903"/>
      <c r="C341" s="903"/>
      <c r="D341" s="903"/>
      <c r="E341" s="903"/>
      <c r="R341" s="904"/>
      <c r="S341" s="904"/>
      <c r="T341" s="904"/>
      <c r="U341" s="904"/>
      <c r="V341" s="904"/>
      <c r="W341" s="904"/>
      <c r="X341" s="904"/>
      <c r="Y341" s="904"/>
    </row>
    <row r="342" spans="1:25" x14ac:dyDescent="0.2">
      <c r="A342" s="903"/>
      <c r="B342" s="903"/>
      <c r="C342" s="903"/>
      <c r="D342" s="903"/>
      <c r="E342" s="903"/>
      <c r="R342" s="904"/>
      <c r="S342" s="904"/>
      <c r="T342" s="904"/>
      <c r="U342" s="904"/>
      <c r="V342" s="904"/>
      <c r="W342" s="904"/>
      <c r="X342" s="904"/>
      <c r="Y342" s="904"/>
    </row>
    <row r="343" spans="1:25" x14ac:dyDescent="0.2">
      <c r="A343" s="903"/>
      <c r="B343" s="903"/>
      <c r="C343" s="903"/>
      <c r="D343" s="903"/>
      <c r="E343" s="903"/>
      <c r="R343" s="904"/>
      <c r="S343" s="904"/>
      <c r="T343" s="904"/>
      <c r="U343" s="904"/>
      <c r="V343" s="904"/>
      <c r="W343" s="904"/>
      <c r="X343" s="904"/>
      <c r="Y343" s="904"/>
    </row>
    <row r="344" spans="1:25" x14ac:dyDescent="0.2">
      <c r="A344" s="903"/>
      <c r="B344" s="903"/>
      <c r="C344" s="903"/>
      <c r="D344" s="903"/>
      <c r="E344" s="903"/>
      <c r="R344" s="904"/>
      <c r="S344" s="904"/>
      <c r="T344" s="904"/>
      <c r="U344" s="904"/>
      <c r="V344" s="904"/>
      <c r="W344" s="904"/>
      <c r="X344" s="904"/>
      <c r="Y344" s="904"/>
    </row>
    <row r="345" spans="1:25" x14ac:dyDescent="0.2">
      <c r="A345" s="903"/>
      <c r="B345" s="903"/>
      <c r="C345" s="903"/>
      <c r="D345" s="903"/>
      <c r="E345" s="903"/>
      <c r="R345" s="904"/>
      <c r="S345" s="904"/>
      <c r="T345" s="904"/>
      <c r="U345" s="904"/>
      <c r="V345" s="904"/>
      <c r="W345" s="904"/>
      <c r="X345" s="904"/>
      <c r="Y345" s="904"/>
    </row>
    <row r="346" spans="1:25" x14ac:dyDescent="0.2">
      <c r="A346" s="903"/>
      <c r="B346" s="903"/>
      <c r="C346" s="903"/>
      <c r="D346" s="903"/>
      <c r="E346" s="903"/>
      <c r="R346" s="904"/>
      <c r="S346" s="904"/>
      <c r="T346" s="904"/>
      <c r="U346" s="904"/>
      <c r="V346" s="904"/>
      <c r="W346" s="904"/>
      <c r="X346" s="904"/>
      <c r="Y346" s="904"/>
    </row>
    <row r="347" spans="1:25" x14ac:dyDescent="0.2">
      <c r="A347" s="903"/>
      <c r="B347" s="903"/>
      <c r="C347" s="903"/>
      <c r="D347" s="903"/>
      <c r="E347" s="903"/>
      <c r="R347" s="904"/>
      <c r="S347" s="904"/>
      <c r="T347" s="904"/>
      <c r="U347" s="904"/>
      <c r="V347" s="904"/>
      <c r="W347" s="904"/>
      <c r="X347" s="904"/>
      <c r="Y347" s="904"/>
    </row>
    <row r="348" spans="1:25" x14ac:dyDescent="0.2">
      <c r="A348" s="903"/>
      <c r="B348" s="903"/>
      <c r="C348" s="903"/>
      <c r="D348" s="903"/>
      <c r="E348" s="903"/>
      <c r="R348" s="904"/>
      <c r="S348" s="904"/>
      <c r="T348" s="904"/>
      <c r="U348" s="904"/>
      <c r="V348" s="904"/>
      <c r="W348" s="904"/>
      <c r="X348" s="904"/>
      <c r="Y348" s="904"/>
    </row>
    <row r="349" spans="1:25" x14ac:dyDescent="0.2">
      <c r="A349" s="903"/>
      <c r="B349" s="903"/>
      <c r="C349" s="903"/>
      <c r="D349" s="903"/>
      <c r="E349" s="903"/>
      <c r="R349" s="904"/>
      <c r="S349" s="904"/>
      <c r="T349" s="904"/>
      <c r="U349" s="904"/>
      <c r="V349" s="904"/>
      <c r="W349" s="904"/>
      <c r="X349" s="904"/>
      <c r="Y349" s="904"/>
    </row>
    <row r="350" spans="1:25" x14ac:dyDescent="0.2">
      <c r="A350" s="903"/>
      <c r="B350" s="903"/>
      <c r="C350" s="903"/>
      <c r="D350" s="903"/>
      <c r="E350" s="903"/>
      <c r="R350" s="904"/>
      <c r="S350" s="904"/>
      <c r="T350" s="904"/>
      <c r="U350" s="904"/>
      <c r="V350" s="904"/>
      <c r="W350" s="904"/>
      <c r="X350" s="904"/>
      <c r="Y350" s="904"/>
    </row>
    <row r="351" spans="1:25" x14ac:dyDescent="0.2">
      <c r="A351" s="903"/>
      <c r="B351" s="903"/>
      <c r="C351" s="903"/>
      <c r="D351" s="903"/>
      <c r="E351" s="903"/>
      <c r="R351" s="904"/>
      <c r="S351" s="904"/>
      <c r="T351" s="904"/>
      <c r="U351" s="904"/>
      <c r="V351" s="904"/>
      <c r="W351" s="904"/>
      <c r="X351" s="904"/>
      <c r="Y351" s="904"/>
    </row>
    <row r="352" spans="1:25" x14ac:dyDescent="0.2">
      <c r="A352" s="903"/>
      <c r="B352" s="903"/>
      <c r="C352" s="903"/>
      <c r="D352" s="903"/>
      <c r="E352" s="903"/>
      <c r="R352" s="904"/>
      <c r="S352" s="904"/>
      <c r="T352" s="904"/>
      <c r="U352" s="904"/>
      <c r="V352" s="904"/>
      <c r="W352" s="904"/>
      <c r="X352" s="904"/>
      <c r="Y352" s="904"/>
    </row>
    <row r="353" spans="1:25" x14ac:dyDescent="0.2">
      <c r="A353" s="903"/>
      <c r="B353" s="903"/>
      <c r="C353" s="903"/>
      <c r="D353" s="903"/>
      <c r="E353" s="903"/>
      <c r="R353" s="904"/>
      <c r="S353" s="904"/>
      <c r="T353" s="904"/>
      <c r="U353" s="904"/>
      <c r="V353" s="904"/>
      <c r="W353" s="904"/>
      <c r="X353" s="904"/>
      <c r="Y353" s="904"/>
    </row>
    <row r="354" spans="1:25" x14ac:dyDescent="0.2">
      <c r="A354" s="903"/>
      <c r="B354" s="903"/>
      <c r="C354" s="903"/>
      <c r="D354" s="903"/>
      <c r="E354" s="903"/>
      <c r="R354" s="904"/>
      <c r="S354" s="904"/>
      <c r="T354" s="904"/>
      <c r="U354" s="904"/>
      <c r="V354" s="904"/>
      <c r="W354" s="904"/>
      <c r="X354" s="904"/>
      <c r="Y354" s="904"/>
    </row>
    <row r="355" spans="1:25" x14ac:dyDescent="0.2">
      <c r="A355" s="903"/>
      <c r="B355" s="903"/>
      <c r="C355" s="903"/>
      <c r="D355" s="903"/>
      <c r="E355" s="903"/>
      <c r="R355" s="904"/>
      <c r="S355" s="904"/>
      <c r="T355" s="904"/>
      <c r="U355" s="904"/>
      <c r="V355" s="904"/>
      <c r="W355" s="904"/>
      <c r="X355" s="904"/>
      <c r="Y355" s="904"/>
    </row>
    <row r="356" spans="1:25" x14ac:dyDescent="0.2">
      <c r="A356" s="903"/>
      <c r="B356" s="903"/>
      <c r="C356" s="903"/>
      <c r="D356" s="903"/>
      <c r="E356" s="903"/>
      <c r="R356" s="904"/>
      <c r="S356" s="904"/>
      <c r="T356" s="904"/>
      <c r="U356" s="904"/>
      <c r="V356" s="904"/>
      <c r="W356" s="904"/>
      <c r="X356" s="904"/>
      <c r="Y356" s="904"/>
    </row>
    <row r="357" spans="1:25" x14ac:dyDescent="0.2">
      <c r="A357" s="903"/>
      <c r="B357" s="903"/>
      <c r="C357" s="903"/>
      <c r="D357" s="903"/>
      <c r="E357" s="903"/>
      <c r="R357" s="904"/>
      <c r="S357" s="904"/>
      <c r="T357" s="904"/>
      <c r="U357" s="904"/>
      <c r="V357" s="904"/>
      <c r="W357" s="904"/>
      <c r="X357" s="904"/>
      <c r="Y357" s="904"/>
    </row>
    <row r="358" spans="1:25" x14ac:dyDescent="0.2">
      <c r="A358" s="903"/>
      <c r="B358" s="903"/>
      <c r="C358" s="903"/>
      <c r="D358" s="903"/>
      <c r="E358" s="903"/>
      <c r="R358" s="904"/>
      <c r="S358" s="904"/>
      <c r="T358" s="904"/>
      <c r="U358" s="904"/>
      <c r="V358" s="904"/>
      <c r="W358" s="904"/>
      <c r="X358" s="904"/>
      <c r="Y358" s="904"/>
    </row>
    <row r="359" spans="1:25" x14ac:dyDescent="0.2">
      <c r="A359" s="903"/>
      <c r="B359" s="903"/>
      <c r="C359" s="903"/>
      <c r="D359" s="903"/>
      <c r="E359" s="903"/>
      <c r="R359" s="904"/>
      <c r="S359" s="904"/>
      <c r="T359" s="904"/>
      <c r="U359" s="904"/>
      <c r="V359" s="904"/>
      <c r="W359" s="904"/>
      <c r="X359" s="904"/>
      <c r="Y359" s="904"/>
    </row>
    <row r="360" spans="1:25" x14ac:dyDescent="0.2">
      <c r="A360" s="903"/>
      <c r="B360" s="903"/>
      <c r="C360" s="903"/>
      <c r="D360" s="903"/>
      <c r="E360" s="903"/>
      <c r="R360" s="904"/>
      <c r="S360" s="904"/>
      <c r="T360" s="904"/>
      <c r="U360" s="904"/>
      <c r="V360" s="904"/>
      <c r="W360" s="904"/>
      <c r="X360" s="904"/>
      <c r="Y360" s="904"/>
    </row>
    <row r="361" spans="1:25" x14ac:dyDescent="0.2">
      <c r="A361" s="903"/>
      <c r="B361" s="903"/>
      <c r="C361" s="903"/>
      <c r="D361" s="903"/>
      <c r="E361" s="903"/>
      <c r="R361" s="904"/>
      <c r="S361" s="904"/>
      <c r="T361" s="904"/>
      <c r="U361" s="904"/>
      <c r="V361" s="904"/>
      <c r="W361" s="904"/>
      <c r="X361" s="904"/>
      <c r="Y361" s="904"/>
    </row>
    <row r="362" spans="1:25" x14ac:dyDescent="0.2">
      <c r="A362" s="903"/>
      <c r="B362" s="903"/>
      <c r="C362" s="903"/>
      <c r="D362" s="903"/>
      <c r="E362" s="903"/>
      <c r="R362" s="904"/>
      <c r="S362" s="904"/>
      <c r="T362" s="904"/>
      <c r="U362" s="904"/>
      <c r="V362" s="904"/>
      <c r="W362" s="904"/>
      <c r="X362" s="904"/>
      <c r="Y362" s="904"/>
    </row>
    <row r="363" spans="1:25" x14ac:dyDescent="0.2">
      <c r="A363" s="903"/>
      <c r="B363" s="903"/>
      <c r="C363" s="903"/>
      <c r="D363" s="903"/>
      <c r="E363" s="903"/>
      <c r="R363" s="904"/>
      <c r="S363" s="904"/>
      <c r="T363" s="904"/>
      <c r="U363" s="904"/>
      <c r="V363" s="904"/>
      <c r="W363" s="904"/>
      <c r="X363" s="904"/>
      <c r="Y363" s="904"/>
    </row>
    <row r="364" spans="1:25" x14ac:dyDescent="0.2">
      <c r="A364" s="903"/>
      <c r="B364" s="903"/>
      <c r="C364" s="903"/>
      <c r="D364" s="903"/>
      <c r="E364" s="903"/>
      <c r="R364" s="904"/>
      <c r="S364" s="904"/>
      <c r="T364" s="904"/>
      <c r="U364" s="904"/>
      <c r="V364" s="904"/>
      <c r="W364" s="904"/>
      <c r="X364" s="904"/>
      <c r="Y364" s="904"/>
    </row>
    <row r="365" spans="1:25" x14ac:dyDescent="0.2">
      <c r="A365" s="903"/>
      <c r="B365" s="903"/>
      <c r="C365" s="903"/>
      <c r="D365" s="903"/>
      <c r="E365" s="903"/>
      <c r="R365" s="904"/>
      <c r="S365" s="904"/>
      <c r="T365" s="904"/>
      <c r="U365" s="904"/>
      <c r="V365" s="904"/>
      <c r="W365" s="904"/>
      <c r="X365" s="904"/>
      <c r="Y365" s="904"/>
    </row>
    <row r="366" spans="1:25" x14ac:dyDescent="0.2">
      <c r="A366" s="903"/>
      <c r="B366" s="903"/>
      <c r="C366" s="903"/>
      <c r="D366" s="903"/>
      <c r="E366" s="903"/>
      <c r="R366" s="904"/>
      <c r="S366" s="904"/>
      <c r="T366" s="904"/>
      <c r="U366" s="904"/>
      <c r="V366" s="904"/>
      <c r="W366" s="904"/>
      <c r="X366" s="904"/>
      <c r="Y366" s="904"/>
    </row>
    <row r="367" spans="1:25" x14ac:dyDescent="0.2">
      <c r="A367" s="903"/>
      <c r="B367" s="903"/>
      <c r="C367" s="903"/>
      <c r="D367" s="903"/>
      <c r="E367" s="903"/>
      <c r="R367" s="904"/>
      <c r="S367" s="904"/>
      <c r="T367" s="904"/>
      <c r="U367" s="904"/>
      <c r="V367" s="904"/>
      <c r="W367" s="904"/>
      <c r="X367" s="904"/>
      <c r="Y367" s="904"/>
    </row>
    <row r="368" spans="1:25" x14ac:dyDescent="0.2">
      <c r="A368" s="903"/>
      <c r="B368" s="903"/>
      <c r="C368" s="903"/>
      <c r="D368" s="903"/>
      <c r="E368" s="903"/>
      <c r="R368" s="904"/>
      <c r="S368" s="904"/>
      <c r="T368" s="904"/>
      <c r="U368" s="904"/>
      <c r="V368" s="904"/>
      <c r="W368" s="904"/>
      <c r="X368" s="904"/>
      <c r="Y368" s="904"/>
    </row>
    <row r="369" spans="1:25" x14ac:dyDescent="0.2">
      <c r="A369" s="903"/>
      <c r="B369" s="903"/>
      <c r="C369" s="903"/>
      <c r="D369" s="903"/>
      <c r="E369" s="903"/>
      <c r="R369" s="904"/>
      <c r="S369" s="904"/>
      <c r="T369" s="904"/>
      <c r="U369" s="904"/>
      <c r="V369" s="904"/>
      <c r="W369" s="904"/>
      <c r="X369" s="904"/>
      <c r="Y369" s="904"/>
    </row>
    <row r="370" spans="1:25" x14ac:dyDescent="0.2">
      <c r="A370" s="903"/>
      <c r="B370" s="903"/>
      <c r="C370" s="903"/>
      <c r="D370" s="903"/>
      <c r="E370" s="903"/>
      <c r="R370" s="904"/>
      <c r="S370" s="904"/>
      <c r="T370" s="904"/>
      <c r="U370" s="904"/>
      <c r="V370" s="904"/>
      <c r="W370" s="904"/>
      <c r="X370" s="904"/>
      <c r="Y370" s="904"/>
    </row>
    <row r="371" spans="1:25" x14ac:dyDescent="0.2">
      <c r="A371" s="903"/>
      <c r="B371" s="903"/>
      <c r="C371" s="903"/>
      <c r="D371" s="903"/>
      <c r="E371" s="903"/>
      <c r="R371" s="904"/>
      <c r="S371" s="904"/>
      <c r="T371" s="904"/>
      <c r="U371" s="904"/>
      <c r="V371" s="904"/>
      <c r="W371" s="904"/>
      <c r="X371" s="904"/>
      <c r="Y371" s="904"/>
    </row>
    <row r="372" spans="1:25" x14ac:dyDescent="0.2">
      <c r="A372" s="903"/>
      <c r="B372" s="903"/>
      <c r="C372" s="903"/>
      <c r="D372" s="903"/>
      <c r="E372" s="903"/>
      <c r="R372" s="904"/>
      <c r="S372" s="904"/>
      <c r="T372" s="904"/>
      <c r="U372" s="904"/>
      <c r="V372" s="904"/>
      <c r="W372" s="904"/>
      <c r="X372" s="904"/>
      <c r="Y372" s="904"/>
    </row>
    <row r="373" spans="1:25" x14ac:dyDescent="0.2">
      <c r="A373" s="903"/>
      <c r="B373" s="903"/>
      <c r="C373" s="903"/>
      <c r="D373" s="903"/>
      <c r="E373" s="903"/>
      <c r="R373" s="904"/>
      <c r="S373" s="904"/>
      <c r="T373" s="904"/>
      <c r="U373" s="904"/>
      <c r="V373" s="904"/>
      <c r="W373" s="904"/>
      <c r="X373" s="904"/>
      <c r="Y373" s="904"/>
    </row>
    <row r="374" spans="1:25" x14ac:dyDescent="0.2">
      <c r="A374" s="903"/>
      <c r="B374" s="903"/>
      <c r="C374" s="903"/>
      <c r="D374" s="903"/>
      <c r="E374" s="903"/>
      <c r="R374" s="904"/>
      <c r="S374" s="904"/>
      <c r="T374" s="904"/>
      <c r="U374" s="904"/>
      <c r="V374" s="904"/>
      <c r="W374" s="904"/>
      <c r="X374" s="904"/>
      <c r="Y374" s="904"/>
    </row>
    <row r="375" spans="1:25" x14ac:dyDescent="0.2">
      <c r="A375" s="903"/>
      <c r="B375" s="903"/>
      <c r="C375" s="903"/>
      <c r="D375" s="903"/>
      <c r="E375" s="903"/>
      <c r="R375" s="904"/>
      <c r="S375" s="904"/>
      <c r="T375" s="904"/>
      <c r="U375" s="904"/>
      <c r="V375" s="904"/>
      <c r="W375" s="904"/>
      <c r="X375" s="904"/>
      <c r="Y375" s="904"/>
    </row>
    <row r="376" spans="1:25" x14ac:dyDescent="0.2">
      <c r="A376" s="903"/>
      <c r="B376" s="903"/>
      <c r="C376" s="903"/>
      <c r="D376" s="903"/>
      <c r="E376" s="903"/>
      <c r="R376" s="904"/>
      <c r="S376" s="904"/>
      <c r="T376" s="904"/>
      <c r="U376" s="904"/>
      <c r="V376" s="904"/>
      <c r="W376" s="904"/>
      <c r="X376" s="904"/>
      <c r="Y376" s="904"/>
    </row>
    <row r="377" spans="1:25" x14ac:dyDescent="0.2">
      <c r="A377" s="903"/>
      <c r="B377" s="903"/>
      <c r="C377" s="903"/>
      <c r="D377" s="903"/>
      <c r="E377" s="903"/>
      <c r="R377" s="904"/>
      <c r="S377" s="904"/>
      <c r="T377" s="904"/>
      <c r="U377" s="904"/>
      <c r="V377" s="904"/>
      <c r="W377" s="904"/>
      <c r="X377" s="904"/>
      <c r="Y377" s="904"/>
    </row>
    <row r="378" spans="1:25" x14ac:dyDescent="0.2">
      <c r="A378" s="903"/>
      <c r="B378" s="903"/>
      <c r="C378" s="903"/>
      <c r="D378" s="903"/>
      <c r="E378" s="903"/>
      <c r="R378" s="904"/>
      <c r="S378" s="904"/>
      <c r="T378" s="904"/>
      <c r="U378" s="904"/>
      <c r="V378" s="904"/>
      <c r="W378" s="904"/>
      <c r="X378" s="904"/>
      <c r="Y378" s="904"/>
    </row>
    <row r="379" spans="1:25" x14ac:dyDescent="0.2">
      <c r="A379" s="903"/>
      <c r="B379" s="903"/>
      <c r="C379" s="903"/>
      <c r="D379" s="903"/>
      <c r="E379" s="903"/>
      <c r="R379" s="904"/>
      <c r="S379" s="904"/>
      <c r="T379" s="904"/>
      <c r="U379" s="904"/>
      <c r="V379" s="904"/>
      <c r="W379" s="904"/>
      <c r="X379" s="904"/>
      <c r="Y379" s="904"/>
    </row>
    <row r="380" spans="1:25" x14ac:dyDescent="0.2">
      <c r="A380" s="903"/>
      <c r="B380" s="903"/>
      <c r="C380" s="903"/>
      <c r="D380" s="903"/>
      <c r="E380" s="903"/>
      <c r="R380" s="904"/>
      <c r="S380" s="904"/>
      <c r="T380" s="904"/>
      <c r="U380" s="904"/>
      <c r="V380" s="904"/>
      <c r="W380" s="904"/>
      <c r="X380" s="904"/>
      <c r="Y380" s="904"/>
    </row>
    <row r="381" spans="1:25" x14ac:dyDescent="0.2">
      <c r="A381" s="903"/>
      <c r="B381" s="903"/>
      <c r="C381" s="903"/>
      <c r="D381" s="903"/>
      <c r="E381" s="903"/>
      <c r="R381" s="904"/>
      <c r="S381" s="904"/>
      <c r="T381" s="904"/>
      <c r="U381" s="904"/>
      <c r="V381" s="904"/>
      <c r="W381" s="904"/>
      <c r="X381" s="904"/>
      <c r="Y381" s="904"/>
    </row>
    <row r="382" spans="1:25" x14ac:dyDescent="0.2">
      <c r="A382" s="903"/>
      <c r="B382" s="903"/>
      <c r="C382" s="903"/>
      <c r="D382" s="903"/>
      <c r="E382" s="903"/>
      <c r="R382" s="904"/>
      <c r="S382" s="904"/>
      <c r="T382" s="904"/>
      <c r="U382" s="904"/>
      <c r="V382" s="904"/>
      <c r="W382" s="904"/>
      <c r="X382" s="904"/>
      <c r="Y382" s="904"/>
    </row>
    <row r="383" spans="1:25" x14ac:dyDescent="0.2">
      <c r="A383" s="903"/>
      <c r="B383" s="903"/>
      <c r="C383" s="903"/>
      <c r="D383" s="903"/>
      <c r="E383" s="903"/>
      <c r="R383" s="904"/>
      <c r="S383" s="904"/>
      <c r="T383" s="904"/>
      <c r="U383" s="904"/>
      <c r="V383" s="904"/>
      <c r="W383" s="904"/>
      <c r="X383" s="904"/>
      <c r="Y383" s="904"/>
    </row>
    <row r="384" spans="1:25" x14ac:dyDescent="0.2">
      <c r="A384" s="903"/>
      <c r="B384" s="903"/>
      <c r="C384" s="903"/>
      <c r="D384" s="903"/>
      <c r="E384" s="903"/>
      <c r="R384" s="904"/>
      <c r="S384" s="904"/>
      <c r="T384" s="904"/>
      <c r="U384" s="904"/>
      <c r="V384" s="904"/>
      <c r="W384" s="904"/>
      <c r="X384" s="904"/>
      <c r="Y384" s="904"/>
    </row>
    <row r="385" spans="1:25" x14ac:dyDescent="0.2">
      <c r="A385" s="903"/>
      <c r="B385" s="903"/>
      <c r="C385" s="903"/>
      <c r="D385" s="903"/>
      <c r="E385" s="903"/>
      <c r="R385" s="904"/>
      <c r="S385" s="904"/>
      <c r="T385" s="904"/>
      <c r="U385" s="904"/>
      <c r="V385" s="904"/>
      <c r="W385" s="904"/>
      <c r="X385" s="904"/>
      <c r="Y385" s="904"/>
    </row>
    <row r="386" spans="1:25" x14ac:dyDescent="0.2">
      <c r="A386" s="903"/>
      <c r="B386" s="903"/>
      <c r="C386" s="903"/>
      <c r="D386" s="903"/>
      <c r="E386" s="903"/>
      <c r="R386" s="904"/>
      <c r="S386" s="904"/>
      <c r="T386" s="904"/>
      <c r="U386" s="904"/>
      <c r="V386" s="904"/>
      <c r="W386" s="904"/>
      <c r="X386" s="904"/>
      <c r="Y386" s="904"/>
    </row>
    <row r="387" spans="1:25" x14ac:dyDescent="0.2">
      <c r="A387" s="903"/>
      <c r="B387" s="903"/>
      <c r="C387" s="903"/>
      <c r="D387" s="903"/>
      <c r="E387" s="903"/>
      <c r="R387" s="904"/>
      <c r="S387" s="904"/>
      <c r="T387" s="904"/>
      <c r="U387" s="904"/>
      <c r="V387" s="904"/>
      <c r="W387" s="904"/>
      <c r="X387" s="904"/>
      <c r="Y387" s="904"/>
    </row>
    <row r="388" spans="1:25" x14ac:dyDescent="0.2">
      <c r="A388" s="903"/>
      <c r="B388" s="903"/>
      <c r="C388" s="903"/>
      <c r="D388" s="903"/>
      <c r="E388" s="903"/>
      <c r="R388" s="904"/>
      <c r="S388" s="904"/>
      <c r="T388" s="904"/>
      <c r="U388" s="904"/>
      <c r="V388" s="904"/>
      <c r="W388" s="904"/>
      <c r="X388" s="904"/>
      <c r="Y388" s="904"/>
    </row>
    <row r="389" spans="1:25" x14ac:dyDescent="0.2">
      <c r="A389" s="903"/>
      <c r="B389" s="903"/>
      <c r="C389" s="903"/>
      <c r="D389" s="903"/>
      <c r="E389" s="903"/>
      <c r="R389" s="904"/>
      <c r="S389" s="904"/>
      <c r="T389" s="904"/>
      <c r="U389" s="904"/>
      <c r="V389" s="904"/>
      <c r="W389" s="904"/>
      <c r="X389" s="904"/>
      <c r="Y389" s="904"/>
    </row>
    <row r="390" spans="1:25" x14ac:dyDescent="0.2">
      <c r="A390" s="903"/>
      <c r="B390" s="903"/>
      <c r="C390" s="903"/>
      <c r="D390" s="903"/>
      <c r="E390" s="903"/>
      <c r="R390" s="904"/>
      <c r="S390" s="904"/>
      <c r="T390" s="904"/>
      <c r="U390" s="904"/>
      <c r="V390" s="904"/>
      <c r="W390" s="904"/>
      <c r="X390" s="904"/>
      <c r="Y390" s="904"/>
    </row>
    <row r="391" spans="1:25" x14ac:dyDescent="0.2">
      <c r="A391" s="903"/>
      <c r="B391" s="903"/>
      <c r="C391" s="903"/>
      <c r="D391" s="903"/>
      <c r="E391" s="903"/>
      <c r="R391" s="904"/>
      <c r="S391" s="904"/>
      <c r="T391" s="904"/>
      <c r="U391" s="904"/>
      <c r="V391" s="904"/>
      <c r="W391" s="904"/>
      <c r="X391" s="904"/>
      <c r="Y391" s="904"/>
    </row>
    <row r="392" spans="1:25" x14ac:dyDescent="0.2">
      <c r="A392" s="903"/>
      <c r="B392" s="903"/>
      <c r="C392" s="903"/>
      <c r="D392" s="903"/>
      <c r="E392" s="903"/>
      <c r="R392" s="904"/>
      <c r="S392" s="904"/>
      <c r="T392" s="904"/>
      <c r="U392" s="904"/>
      <c r="V392" s="904"/>
      <c r="W392" s="904"/>
      <c r="X392" s="904"/>
      <c r="Y392" s="904"/>
    </row>
    <row r="393" spans="1:25" x14ac:dyDescent="0.2">
      <c r="A393" s="903"/>
      <c r="B393" s="903"/>
      <c r="C393" s="903"/>
      <c r="D393" s="903"/>
      <c r="E393" s="903"/>
      <c r="R393" s="904"/>
      <c r="S393" s="904"/>
      <c r="T393" s="904"/>
      <c r="U393" s="904"/>
      <c r="V393" s="904"/>
      <c r="W393" s="904"/>
      <c r="X393" s="904"/>
      <c r="Y393" s="904"/>
    </row>
    <row r="394" spans="1:25" x14ac:dyDescent="0.2">
      <c r="A394" s="903"/>
      <c r="B394" s="903"/>
      <c r="C394" s="903"/>
      <c r="D394" s="903"/>
      <c r="E394" s="903"/>
      <c r="R394" s="904"/>
      <c r="S394" s="904"/>
      <c r="T394" s="904"/>
      <c r="U394" s="904"/>
      <c r="V394" s="904"/>
      <c r="W394" s="904"/>
      <c r="X394" s="904"/>
      <c r="Y394" s="904"/>
    </row>
    <row r="395" spans="1:25" x14ac:dyDescent="0.2">
      <c r="A395" s="903"/>
      <c r="B395" s="903"/>
      <c r="C395" s="903"/>
      <c r="D395" s="903"/>
      <c r="E395" s="903"/>
      <c r="R395" s="904"/>
      <c r="S395" s="904"/>
      <c r="T395" s="904"/>
      <c r="U395" s="904"/>
      <c r="V395" s="904"/>
      <c r="W395" s="904"/>
      <c r="X395" s="904"/>
      <c r="Y395" s="904"/>
    </row>
    <row r="396" spans="1:25" x14ac:dyDescent="0.2">
      <c r="A396" s="903"/>
      <c r="B396" s="903"/>
      <c r="C396" s="903"/>
      <c r="D396" s="903"/>
      <c r="E396" s="903"/>
      <c r="R396" s="904"/>
      <c r="S396" s="904"/>
      <c r="T396" s="904"/>
      <c r="U396" s="904"/>
      <c r="V396" s="904"/>
      <c r="W396" s="904"/>
      <c r="X396" s="904"/>
      <c r="Y396" s="904"/>
    </row>
    <row r="397" spans="1:25" x14ac:dyDescent="0.2">
      <c r="A397" s="903"/>
      <c r="B397" s="903"/>
      <c r="C397" s="903"/>
      <c r="D397" s="903"/>
      <c r="E397" s="903"/>
      <c r="R397" s="904"/>
      <c r="S397" s="904"/>
      <c r="T397" s="904"/>
      <c r="U397" s="904"/>
      <c r="V397" s="904"/>
      <c r="W397" s="904"/>
      <c r="X397" s="904"/>
      <c r="Y397" s="904"/>
    </row>
    <row r="398" spans="1:25" x14ac:dyDescent="0.2">
      <c r="A398" s="903"/>
      <c r="B398" s="903"/>
      <c r="C398" s="903"/>
      <c r="D398" s="903"/>
      <c r="E398" s="903"/>
      <c r="R398" s="904"/>
      <c r="S398" s="904"/>
      <c r="T398" s="904"/>
      <c r="U398" s="904"/>
      <c r="V398" s="904"/>
      <c r="W398" s="904"/>
      <c r="X398" s="904"/>
      <c r="Y398" s="904"/>
    </row>
    <row r="399" spans="1:25" x14ac:dyDescent="0.2">
      <c r="A399" s="903"/>
      <c r="B399" s="903"/>
      <c r="C399" s="903"/>
      <c r="D399" s="903"/>
      <c r="E399" s="903"/>
      <c r="R399" s="904"/>
      <c r="S399" s="904"/>
      <c r="T399" s="904"/>
      <c r="U399" s="904"/>
      <c r="V399" s="904"/>
      <c r="W399" s="904"/>
      <c r="X399" s="904"/>
      <c r="Y399" s="904"/>
    </row>
    <row r="400" spans="1:25" x14ac:dyDescent="0.2">
      <c r="A400" s="903"/>
      <c r="B400" s="903"/>
      <c r="C400" s="903"/>
      <c r="D400" s="903"/>
      <c r="E400" s="903"/>
      <c r="R400" s="904"/>
      <c r="S400" s="904"/>
      <c r="T400" s="904"/>
      <c r="U400" s="904"/>
      <c r="V400" s="904"/>
      <c r="W400" s="904"/>
      <c r="X400" s="904"/>
      <c r="Y400" s="904"/>
    </row>
    <row r="401" spans="1:25" x14ac:dyDescent="0.2">
      <c r="A401" s="903"/>
      <c r="B401" s="903"/>
      <c r="C401" s="903"/>
      <c r="D401" s="903"/>
      <c r="E401" s="903"/>
      <c r="R401" s="904"/>
      <c r="S401" s="904"/>
      <c r="T401" s="904"/>
      <c r="U401" s="904"/>
      <c r="V401" s="904"/>
      <c r="W401" s="904"/>
      <c r="X401" s="904"/>
      <c r="Y401" s="904"/>
    </row>
    <row r="402" spans="1:25" x14ac:dyDescent="0.2">
      <c r="A402" s="903"/>
      <c r="B402" s="903"/>
      <c r="C402" s="903"/>
      <c r="D402" s="903"/>
      <c r="E402" s="903"/>
      <c r="R402" s="904"/>
      <c r="S402" s="904"/>
      <c r="T402" s="904"/>
      <c r="U402" s="904"/>
      <c r="V402" s="904"/>
      <c r="W402" s="904"/>
      <c r="X402" s="904"/>
      <c r="Y402" s="904"/>
    </row>
    <row r="403" spans="1:25" x14ac:dyDescent="0.2">
      <c r="A403" s="903"/>
      <c r="B403" s="903"/>
      <c r="C403" s="903"/>
      <c r="D403" s="903"/>
      <c r="E403" s="903"/>
      <c r="R403" s="904"/>
      <c r="S403" s="904"/>
      <c r="T403" s="904"/>
      <c r="U403" s="904"/>
      <c r="V403" s="904"/>
      <c r="W403" s="904"/>
      <c r="X403" s="904"/>
      <c r="Y403" s="904"/>
    </row>
    <row r="404" spans="1:25" x14ac:dyDescent="0.2">
      <c r="A404" s="903"/>
      <c r="B404" s="903"/>
      <c r="C404" s="903"/>
      <c r="D404" s="903"/>
      <c r="E404" s="903"/>
      <c r="R404" s="904"/>
      <c r="S404" s="904"/>
      <c r="T404" s="904"/>
      <c r="U404" s="904"/>
      <c r="V404" s="904"/>
      <c r="W404" s="904"/>
      <c r="X404" s="904"/>
      <c r="Y404" s="904"/>
    </row>
    <row r="405" spans="1:25" x14ac:dyDescent="0.2">
      <c r="A405" s="903"/>
      <c r="B405" s="903"/>
      <c r="C405" s="903"/>
      <c r="D405" s="903"/>
      <c r="E405" s="903"/>
      <c r="R405" s="904"/>
      <c r="S405" s="904"/>
      <c r="T405" s="904"/>
      <c r="U405" s="904"/>
      <c r="V405" s="904"/>
      <c r="W405" s="904"/>
      <c r="X405" s="904"/>
      <c r="Y405" s="904"/>
    </row>
    <row r="406" spans="1:25" x14ac:dyDescent="0.2">
      <c r="A406" s="903"/>
      <c r="B406" s="903"/>
      <c r="C406" s="903"/>
      <c r="D406" s="903"/>
      <c r="E406" s="903"/>
      <c r="R406" s="904"/>
      <c r="S406" s="904"/>
      <c r="T406" s="904"/>
      <c r="U406" s="904"/>
      <c r="V406" s="904"/>
      <c r="W406" s="904"/>
      <c r="X406" s="904"/>
      <c r="Y406" s="904"/>
    </row>
    <row r="407" spans="1:25" x14ac:dyDescent="0.2">
      <c r="A407" s="903"/>
      <c r="B407" s="903"/>
      <c r="C407" s="903"/>
      <c r="D407" s="903"/>
      <c r="E407" s="903"/>
      <c r="R407" s="904"/>
      <c r="S407" s="904"/>
      <c r="T407" s="904"/>
      <c r="U407" s="904"/>
      <c r="V407" s="904"/>
      <c r="W407" s="904"/>
      <c r="X407" s="904"/>
      <c r="Y407" s="904"/>
    </row>
    <row r="408" spans="1:25" x14ac:dyDescent="0.2">
      <c r="A408" s="903"/>
      <c r="B408" s="903"/>
      <c r="C408" s="903"/>
      <c r="D408" s="903"/>
      <c r="E408" s="903"/>
      <c r="R408" s="904"/>
      <c r="S408" s="904"/>
      <c r="T408" s="904"/>
      <c r="U408" s="904"/>
      <c r="V408" s="904"/>
      <c r="W408" s="904"/>
      <c r="X408" s="904"/>
      <c r="Y408" s="904"/>
    </row>
    <row r="409" spans="1:25" x14ac:dyDescent="0.2">
      <c r="A409" s="903"/>
      <c r="B409" s="903"/>
      <c r="C409" s="903"/>
      <c r="D409" s="903"/>
      <c r="E409" s="903"/>
      <c r="R409" s="904"/>
      <c r="S409" s="904"/>
      <c r="T409" s="904"/>
      <c r="U409" s="904"/>
      <c r="V409" s="904"/>
      <c r="W409" s="904"/>
      <c r="X409" s="904"/>
      <c r="Y409" s="904"/>
    </row>
    <row r="410" spans="1:25" x14ac:dyDescent="0.2">
      <c r="A410" s="903"/>
      <c r="B410" s="903"/>
      <c r="C410" s="903"/>
      <c r="D410" s="903"/>
      <c r="E410" s="903"/>
      <c r="R410" s="904"/>
      <c r="S410" s="904"/>
      <c r="T410" s="904"/>
      <c r="U410" s="904"/>
      <c r="V410" s="904"/>
      <c r="W410" s="904"/>
      <c r="X410" s="904"/>
      <c r="Y410" s="904"/>
    </row>
    <row r="411" spans="1:25" x14ac:dyDescent="0.2">
      <c r="A411" s="903"/>
      <c r="B411" s="903"/>
      <c r="C411" s="903"/>
      <c r="D411" s="903"/>
      <c r="E411" s="903"/>
      <c r="R411" s="904"/>
      <c r="S411" s="904"/>
      <c r="T411" s="904"/>
      <c r="U411" s="904"/>
      <c r="V411" s="904"/>
      <c r="W411" s="904"/>
      <c r="X411" s="904"/>
      <c r="Y411" s="904"/>
    </row>
    <row r="412" spans="1:25" x14ac:dyDescent="0.2">
      <c r="A412" s="903"/>
      <c r="B412" s="903"/>
      <c r="C412" s="903"/>
      <c r="D412" s="903"/>
      <c r="E412" s="903"/>
      <c r="R412" s="904"/>
      <c r="S412" s="904"/>
      <c r="T412" s="904"/>
      <c r="U412" s="904"/>
      <c r="V412" s="904"/>
      <c r="W412" s="904"/>
      <c r="X412" s="904"/>
      <c r="Y412" s="904"/>
    </row>
    <row r="413" spans="1:25" x14ac:dyDescent="0.2">
      <c r="A413" s="903"/>
      <c r="B413" s="903"/>
      <c r="C413" s="903"/>
      <c r="D413" s="903"/>
      <c r="E413" s="903"/>
      <c r="R413" s="904"/>
      <c r="S413" s="904"/>
      <c r="T413" s="904"/>
      <c r="U413" s="904"/>
      <c r="V413" s="904"/>
      <c r="W413" s="904"/>
      <c r="X413" s="904"/>
      <c r="Y413" s="904"/>
    </row>
    <row r="414" spans="1:25" x14ac:dyDescent="0.2">
      <c r="A414" s="903"/>
      <c r="B414" s="903"/>
      <c r="C414" s="903"/>
      <c r="D414" s="903"/>
      <c r="E414" s="903"/>
      <c r="R414" s="904"/>
      <c r="S414" s="904"/>
      <c r="T414" s="904"/>
      <c r="U414" s="904"/>
      <c r="V414" s="904"/>
      <c r="W414" s="904"/>
      <c r="X414" s="904"/>
      <c r="Y414" s="904"/>
    </row>
    <row r="415" spans="1:25" x14ac:dyDescent="0.2">
      <c r="A415" s="903"/>
      <c r="B415" s="903"/>
      <c r="C415" s="903"/>
      <c r="D415" s="903"/>
      <c r="E415" s="903"/>
      <c r="R415" s="904"/>
      <c r="S415" s="904"/>
      <c r="T415" s="904"/>
      <c r="U415" s="904"/>
      <c r="V415" s="904"/>
      <c r="W415" s="904"/>
      <c r="X415" s="904"/>
      <c r="Y415" s="904"/>
    </row>
    <row r="416" spans="1:25" x14ac:dyDescent="0.2">
      <c r="A416" s="903"/>
      <c r="B416" s="903"/>
      <c r="C416" s="903"/>
      <c r="D416" s="903"/>
      <c r="E416" s="903"/>
      <c r="R416" s="904"/>
      <c r="S416" s="904"/>
      <c r="T416" s="904"/>
      <c r="U416" s="904"/>
      <c r="V416" s="904"/>
      <c r="W416" s="904"/>
      <c r="X416" s="904"/>
      <c r="Y416" s="904"/>
    </row>
    <row r="417" spans="1:25" x14ac:dyDescent="0.2">
      <c r="A417" s="903"/>
      <c r="B417" s="903"/>
      <c r="C417" s="903"/>
      <c r="D417" s="903"/>
      <c r="E417" s="903"/>
      <c r="R417" s="904"/>
      <c r="S417" s="904"/>
      <c r="T417" s="904"/>
      <c r="U417" s="904"/>
      <c r="V417" s="904"/>
      <c r="W417" s="904"/>
      <c r="X417" s="904"/>
      <c r="Y417" s="904"/>
    </row>
    <row r="418" spans="1:25" x14ac:dyDescent="0.2">
      <c r="A418" s="903"/>
      <c r="B418" s="903"/>
      <c r="C418" s="903"/>
      <c r="D418" s="903"/>
      <c r="E418" s="903"/>
      <c r="R418" s="904"/>
      <c r="S418" s="904"/>
      <c r="T418" s="904"/>
      <c r="U418" s="904"/>
      <c r="V418" s="904"/>
      <c r="W418" s="904"/>
      <c r="X418" s="904"/>
      <c r="Y418" s="904"/>
    </row>
    <row r="419" spans="1:25" x14ac:dyDescent="0.2">
      <c r="A419" s="903"/>
      <c r="B419" s="903"/>
      <c r="C419" s="903"/>
      <c r="D419" s="903"/>
      <c r="E419" s="903"/>
      <c r="R419" s="904"/>
      <c r="S419" s="904"/>
      <c r="T419" s="904"/>
      <c r="U419" s="904"/>
      <c r="V419" s="904"/>
      <c r="W419" s="904"/>
      <c r="X419" s="904"/>
      <c r="Y419" s="904"/>
    </row>
    <row r="420" spans="1:25" x14ac:dyDescent="0.2">
      <c r="A420" s="903"/>
      <c r="B420" s="903"/>
      <c r="C420" s="903"/>
      <c r="D420" s="903"/>
      <c r="E420" s="903"/>
      <c r="R420" s="904"/>
      <c r="S420" s="904"/>
      <c r="T420" s="904"/>
      <c r="U420" s="904"/>
      <c r="V420" s="904"/>
      <c r="W420" s="904"/>
      <c r="X420" s="904"/>
      <c r="Y420" s="904"/>
    </row>
    <row r="421" spans="1:25" x14ac:dyDescent="0.2">
      <c r="A421" s="903"/>
      <c r="B421" s="903"/>
      <c r="C421" s="903"/>
      <c r="D421" s="903"/>
      <c r="E421" s="903"/>
      <c r="R421" s="904"/>
      <c r="S421" s="904"/>
      <c r="T421" s="904"/>
      <c r="U421" s="904"/>
      <c r="V421" s="904"/>
      <c r="W421" s="904"/>
      <c r="X421" s="904"/>
      <c r="Y421" s="904"/>
    </row>
    <row r="422" spans="1:25" x14ac:dyDescent="0.2">
      <c r="A422" s="903"/>
      <c r="B422" s="903"/>
      <c r="C422" s="903"/>
      <c r="D422" s="903"/>
      <c r="E422" s="903"/>
      <c r="R422" s="904"/>
      <c r="S422" s="904"/>
      <c r="T422" s="904"/>
      <c r="U422" s="904"/>
      <c r="V422" s="904"/>
      <c r="W422" s="904"/>
      <c r="X422" s="904"/>
      <c r="Y422" s="904"/>
    </row>
    <row r="423" spans="1:25" x14ac:dyDescent="0.2">
      <c r="A423" s="903"/>
      <c r="B423" s="903"/>
      <c r="C423" s="903"/>
      <c r="D423" s="903"/>
      <c r="E423" s="903"/>
      <c r="R423" s="904"/>
      <c r="S423" s="904"/>
      <c r="T423" s="904"/>
      <c r="U423" s="904"/>
      <c r="V423" s="904"/>
      <c r="W423" s="904"/>
      <c r="X423" s="904"/>
      <c r="Y423" s="904"/>
    </row>
    <row r="424" spans="1:25" x14ac:dyDescent="0.2">
      <c r="A424" s="903"/>
      <c r="B424" s="903"/>
      <c r="C424" s="903"/>
      <c r="D424" s="903"/>
      <c r="E424" s="903"/>
      <c r="R424" s="904"/>
      <c r="S424" s="904"/>
      <c r="T424" s="904"/>
      <c r="U424" s="904"/>
      <c r="V424" s="904"/>
      <c r="W424" s="904"/>
      <c r="X424" s="904"/>
      <c r="Y424" s="904"/>
    </row>
    <row r="425" spans="1:25" x14ac:dyDescent="0.2">
      <c r="A425" s="903"/>
      <c r="B425" s="903"/>
      <c r="C425" s="903"/>
      <c r="D425" s="903"/>
      <c r="E425" s="903"/>
      <c r="R425" s="904"/>
      <c r="S425" s="904"/>
      <c r="T425" s="904"/>
      <c r="U425" s="904"/>
      <c r="V425" s="904"/>
      <c r="W425" s="904"/>
      <c r="X425" s="904"/>
      <c r="Y425" s="904"/>
    </row>
    <row r="426" spans="1:25" x14ac:dyDescent="0.2">
      <c r="A426" s="903"/>
      <c r="B426" s="903"/>
      <c r="C426" s="903"/>
      <c r="D426" s="903"/>
      <c r="E426" s="903"/>
      <c r="R426" s="904"/>
      <c r="S426" s="904"/>
      <c r="T426" s="904"/>
      <c r="U426" s="904"/>
      <c r="V426" s="904"/>
      <c r="W426" s="904"/>
      <c r="X426" s="904"/>
      <c r="Y426" s="904"/>
    </row>
    <row r="427" spans="1:25" x14ac:dyDescent="0.2">
      <c r="A427" s="903"/>
      <c r="B427" s="903"/>
      <c r="C427" s="903"/>
      <c r="D427" s="903"/>
      <c r="E427" s="903"/>
      <c r="R427" s="904"/>
      <c r="S427" s="904"/>
      <c r="T427" s="904"/>
      <c r="U427" s="904"/>
      <c r="V427" s="904"/>
      <c r="W427" s="904"/>
      <c r="X427" s="904"/>
      <c r="Y427" s="904"/>
    </row>
    <row r="428" spans="1:25" x14ac:dyDescent="0.2">
      <c r="A428" s="903"/>
      <c r="B428" s="903"/>
      <c r="C428" s="903"/>
      <c r="D428" s="903"/>
      <c r="E428" s="903"/>
      <c r="R428" s="904"/>
      <c r="S428" s="904"/>
      <c r="T428" s="904"/>
      <c r="U428" s="904"/>
      <c r="V428" s="904"/>
      <c r="W428" s="904"/>
      <c r="X428" s="904"/>
      <c r="Y428" s="904"/>
    </row>
    <row r="429" spans="1:25" x14ac:dyDescent="0.2">
      <c r="A429" s="903"/>
      <c r="B429" s="903"/>
      <c r="C429" s="903"/>
      <c r="D429" s="903"/>
      <c r="E429" s="903"/>
      <c r="R429" s="904"/>
      <c r="S429" s="904"/>
      <c r="T429" s="904"/>
      <c r="U429" s="904"/>
      <c r="V429" s="904"/>
      <c r="W429" s="904"/>
      <c r="X429" s="904"/>
      <c r="Y429" s="904"/>
    </row>
    <row r="430" spans="1:25" x14ac:dyDescent="0.2">
      <c r="A430" s="903"/>
      <c r="B430" s="903"/>
      <c r="C430" s="903"/>
      <c r="D430" s="903"/>
      <c r="E430" s="903"/>
      <c r="R430" s="904"/>
      <c r="S430" s="904"/>
      <c r="T430" s="904"/>
      <c r="U430" s="904"/>
      <c r="V430" s="904"/>
      <c r="W430" s="904"/>
      <c r="X430" s="904"/>
      <c r="Y430" s="904"/>
    </row>
    <row r="431" spans="1:25" x14ac:dyDescent="0.2">
      <c r="A431" s="903"/>
      <c r="B431" s="903"/>
      <c r="C431" s="903"/>
      <c r="D431" s="903"/>
      <c r="E431" s="903"/>
      <c r="R431" s="904"/>
      <c r="S431" s="904"/>
      <c r="T431" s="904"/>
      <c r="U431" s="904"/>
      <c r="V431" s="904"/>
      <c r="W431" s="904"/>
      <c r="X431" s="904"/>
      <c r="Y431" s="904"/>
    </row>
    <row r="432" spans="1:25" x14ac:dyDescent="0.2">
      <c r="A432" s="903"/>
      <c r="B432" s="903"/>
      <c r="C432" s="903"/>
      <c r="D432" s="903"/>
      <c r="E432" s="903"/>
      <c r="R432" s="904"/>
      <c r="S432" s="904"/>
      <c r="T432" s="904"/>
      <c r="U432" s="904"/>
      <c r="V432" s="904"/>
      <c r="W432" s="904"/>
      <c r="X432" s="904"/>
      <c r="Y432" s="904"/>
    </row>
    <row r="433" spans="1:25" x14ac:dyDescent="0.2">
      <c r="A433" s="903"/>
      <c r="B433" s="903"/>
      <c r="C433" s="903"/>
      <c r="D433" s="903"/>
      <c r="E433" s="903"/>
      <c r="R433" s="904"/>
      <c r="S433" s="904"/>
      <c r="T433" s="904"/>
      <c r="U433" s="904"/>
      <c r="V433" s="904"/>
      <c r="W433" s="904"/>
      <c r="X433" s="904"/>
      <c r="Y433" s="904"/>
    </row>
    <row r="434" spans="1:25" x14ac:dyDescent="0.2">
      <c r="A434" s="903"/>
      <c r="B434" s="903"/>
      <c r="C434" s="903"/>
      <c r="D434" s="903"/>
      <c r="E434" s="903"/>
      <c r="R434" s="904"/>
      <c r="S434" s="904"/>
      <c r="T434" s="904"/>
      <c r="U434" s="904"/>
      <c r="V434" s="904"/>
      <c r="W434" s="904"/>
      <c r="X434" s="904"/>
      <c r="Y434" s="904"/>
    </row>
    <row r="435" spans="1:25" x14ac:dyDescent="0.2">
      <c r="A435" s="903"/>
      <c r="B435" s="903"/>
      <c r="C435" s="903"/>
      <c r="D435" s="903"/>
      <c r="E435" s="903"/>
      <c r="R435" s="904"/>
      <c r="S435" s="904"/>
      <c r="T435" s="904"/>
      <c r="U435" s="904"/>
      <c r="V435" s="904"/>
      <c r="W435" s="904"/>
      <c r="X435" s="904"/>
      <c r="Y435" s="904"/>
    </row>
    <row r="436" spans="1:25" x14ac:dyDescent="0.2">
      <c r="A436" s="903"/>
      <c r="B436" s="903"/>
      <c r="C436" s="903"/>
      <c r="D436" s="903"/>
      <c r="E436" s="903"/>
      <c r="R436" s="904"/>
      <c r="S436" s="904"/>
      <c r="T436" s="904"/>
      <c r="U436" s="904"/>
      <c r="V436" s="904"/>
      <c r="W436" s="904"/>
      <c r="X436" s="904"/>
      <c r="Y436" s="904"/>
    </row>
    <row r="437" spans="1:25" x14ac:dyDescent="0.2">
      <c r="A437" s="903"/>
      <c r="B437" s="903"/>
      <c r="C437" s="903"/>
      <c r="D437" s="903"/>
      <c r="E437" s="903"/>
      <c r="R437" s="904"/>
      <c r="S437" s="904"/>
      <c r="T437" s="904"/>
      <c r="U437" s="904"/>
      <c r="V437" s="904"/>
      <c r="W437" s="904"/>
      <c r="X437" s="904"/>
      <c r="Y437" s="904"/>
    </row>
    <row r="438" spans="1:25" x14ac:dyDescent="0.2">
      <c r="A438" s="903"/>
      <c r="B438" s="903"/>
      <c r="C438" s="903"/>
      <c r="D438" s="903"/>
      <c r="E438" s="903"/>
      <c r="R438" s="904"/>
      <c r="S438" s="904"/>
      <c r="T438" s="904"/>
      <c r="U438" s="904"/>
      <c r="V438" s="904"/>
      <c r="W438" s="904"/>
      <c r="X438" s="904"/>
      <c r="Y438" s="904"/>
    </row>
    <row r="439" spans="1:25" x14ac:dyDescent="0.2">
      <c r="A439" s="903"/>
      <c r="B439" s="903"/>
      <c r="C439" s="903"/>
      <c r="D439" s="903"/>
      <c r="E439" s="903"/>
      <c r="R439" s="904"/>
      <c r="S439" s="904"/>
      <c r="T439" s="904"/>
      <c r="U439" s="904"/>
      <c r="V439" s="904"/>
      <c r="W439" s="904"/>
      <c r="X439" s="904"/>
      <c r="Y439" s="904"/>
    </row>
    <row r="440" spans="1:25" x14ac:dyDescent="0.2">
      <c r="A440" s="903"/>
      <c r="B440" s="903"/>
      <c r="C440" s="903"/>
      <c r="D440" s="903"/>
      <c r="E440" s="903"/>
      <c r="R440" s="904"/>
      <c r="S440" s="904"/>
      <c r="T440" s="904"/>
      <c r="U440" s="904"/>
      <c r="V440" s="904"/>
      <c r="W440" s="904"/>
      <c r="X440" s="904"/>
      <c r="Y440" s="904"/>
    </row>
    <row r="441" spans="1:25" x14ac:dyDescent="0.2">
      <c r="A441" s="903"/>
      <c r="B441" s="903"/>
      <c r="C441" s="903"/>
      <c r="D441" s="903"/>
      <c r="E441" s="903"/>
      <c r="R441" s="904"/>
      <c r="S441" s="904"/>
      <c r="T441" s="904"/>
      <c r="U441" s="904"/>
      <c r="V441" s="904"/>
      <c r="W441" s="904"/>
      <c r="X441" s="904"/>
      <c r="Y441" s="904"/>
    </row>
    <row r="442" spans="1:25" x14ac:dyDescent="0.2">
      <c r="A442" s="903"/>
      <c r="B442" s="903"/>
      <c r="C442" s="903"/>
      <c r="D442" s="903"/>
      <c r="E442" s="903"/>
      <c r="R442" s="904"/>
      <c r="S442" s="904"/>
      <c r="T442" s="904"/>
      <c r="U442" s="904"/>
      <c r="V442" s="904"/>
      <c r="W442" s="904"/>
      <c r="X442" s="904"/>
      <c r="Y442" s="904"/>
    </row>
    <row r="443" spans="1:25" x14ac:dyDescent="0.2">
      <c r="A443" s="903"/>
      <c r="B443" s="903"/>
      <c r="C443" s="903"/>
      <c r="D443" s="903"/>
      <c r="E443" s="903"/>
      <c r="R443" s="904"/>
      <c r="S443" s="904"/>
      <c r="T443" s="904"/>
      <c r="U443" s="904"/>
      <c r="V443" s="904"/>
      <c r="W443" s="904"/>
      <c r="X443" s="904"/>
      <c r="Y443" s="904"/>
    </row>
    <row r="444" spans="1:25" x14ac:dyDescent="0.2">
      <c r="A444" s="903"/>
      <c r="B444" s="903"/>
      <c r="C444" s="903"/>
      <c r="D444" s="903"/>
      <c r="E444" s="903"/>
      <c r="R444" s="904"/>
      <c r="S444" s="904"/>
      <c r="T444" s="904"/>
      <c r="U444" s="904"/>
      <c r="V444" s="904"/>
      <c r="W444" s="904"/>
      <c r="X444" s="904"/>
      <c r="Y444" s="904"/>
    </row>
    <row r="445" spans="1:25" x14ac:dyDescent="0.2">
      <c r="A445" s="903"/>
      <c r="B445" s="903"/>
      <c r="C445" s="903"/>
      <c r="D445" s="903"/>
      <c r="E445" s="903"/>
      <c r="R445" s="904"/>
      <c r="S445" s="904"/>
      <c r="T445" s="904"/>
      <c r="U445" s="904"/>
      <c r="V445" s="904"/>
      <c r="W445" s="904"/>
      <c r="X445" s="904"/>
      <c r="Y445" s="904"/>
    </row>
    <row r="446" spans="1:25" x14ac:dyDescent="0.2">
      <c r="A446" s="903"/>
      <c r="B446" s="903"/>
      <c r="C446" s="903"/>
      <c r="D446" s="903"/>
      <c r="E446" s="903"/>
      <c r="R446" s="904"/>
      <c r="S446" s="904"/>
      <c r="T446" s="904"/>
      <c r="U446" s="904"/>
      <c r="V446" s="904"/>
      <c r="W446" s="904"/>
      <c r="X446" s="904"/>
      <c r="Y446" s="904"/>
    </row>
    <row r="447" spans="1:25" x14ac:dyDescent="0.2">
      <c r="A447" s="903"/>
      <c r="B447" s="903"/>
      <c r="C447" s="903"/>
      <c r="D447" s="903"/>
      <c r="E447" s="903"/>
      <c r="R447" s="904"/>
      <c r="S447" s="904"/>
      <c r="T447" s="904"/>
      <c r="U447" s="904"/>
      <c r="V447" s="904"/>
      <c r="W447" s="904"/>
      <c r="X447" s="904"/>
      <c r="Y447" s="904"/>
    </row>
    <row r="448" spans="1:25" x14ac:dyDescent="0.2">
      <c r="A448" s="903"/>
      <c r="B448" s="903"/>
      <c r="C448" s="903"/>
      <c r="D448" s="903"/>
      <c r="E448" s="903"/>
      <c r="R448" s="904"/>
      <c r="S448" s="904"/>
      <c r="T448" s="904"/>
      <c r="U448" s="904"/>
      <c r="V448" s="904"/>
      <c r="W448" s="904"/>
      <c r="X448" s="904"/>
      <c r="Y448" s="904"/>
    </row>
    <row r="449" spans="1:25" x14ac:dyDescent="0.2">
      <c r="A449" s="903"/>
      <c r="B449" s="903"/>
      <c r="C449" s="903"/>
      <c r="D449" s="903"/>
      <c r="E449" s="903"/>
      <c r="R449" s="904"/>
      <c r="S449" s="904"/>
      <c r="T449" s="904"/>
      <c r="U449" s="904"/>
      <c r="V449" s="904"/>
      <c r="W449" s="904"/>
      <c r="X449" s="904"/>
      <c r="Y449" s="904"/>
    </row>
    <row r="450" spans="1:25" x14ac:dyDescent="0.2">
      <c r="A450" s="903"/>
      <c r="B450" s="903"/>
      <c r="C450" s="903"/>
      <c r="D450" s="903"/>
      <c r="E450" s="903"/>
      <c r="R450" s="904"/>
      <c r="S450" s="904"/>
      <c r="T450" s="904"/>
      <c r="U450" s="904"/>
      <c r="V450" s="904"/>
      <c r="W450" s="904"/>
      <c r="X450" s="904"/>
      <c r="Y450" s="904"/>
    </row>
    <row r="451" spans="1:25" x14ac:dyDescent="0.2">
      <c r="A451" s="903"/>
      <c r="B451" s="903"/>
      <c r="C451" s="903"/>
      <c r="D451" s="903"/>
      <c r="E451" s="903"/>
      <c r="R451" s="904"/>
      <c r="S451" s="904"/>
      <c r="T451" s="904"/>
      <c r="U451" s="904"/>
      <c r="V451" s="904"/>
      <c r="W451" s="904"/>
      <c r="X451" s="904"/>
      <c r="Y451" s="904"/>
    </row>
    <row r="452" spans="1:25" x14ac:dyDescent="0.2">
      <c r="A452" s="903"/>
      <c r="B452" s="903"/>
      <c r="C452" s="903"/>
      <c r="D452" s="903"/>
      <c r="E452" s="903"/>
      <c r="R452" s="904"/>
      <c r="S452" s="904"/>
      <c r="T452" s="904"/>
      <c r="U452" s="904"/>
      <c r="V452" s="904"/>
      <c r="W452" s="904"/>
      <c r="X452" s="904"/>
      <c r="Y452" s="904"/>
    </row>
    <row r="453" spans="1:25" x14ac:dyDescent="0.2">
      <c r="A453" s="903"/>
      <c r="B453" s="903"/>
      <c r="C453" s="903"/>
      <c r="D453" s="903"/>
      <c r="E453" s="903"/>
      <c r="R453" s="904"/>
      <c r="S453" s="904"/>
      <c r="T453" s="904"/>
      <c r="U453" s="904"/>
      <c r="V453" s="904"/>
      <c r="W453" s="904"/>
      <c r="X453" s="904"/>
      <c r="Y453" s="904"/>
    </row>
    <row r="454" spans="1:25" x14ac:dyDescent="0.2">
      <c r="A454" s="903"/>
      <c r="B454" s="903"/>
      <c r="C454" s="903"/>
      <c r="D454" s="903"/>
      <c r="E454" s="903"/>
      <c r="R454" s="904"/>
      <c r="S454" s="904"/>
      <c r="T454" s="904"/>
      <c r="U454" s="904"/>
      <c r="V454" s="904"/>
      <c r="W454" s="904"/>
      <c r="X454" s="904"/>
      <c r="Y454" s="904"/>
    </row>
    <row r="455" spans="1:25" x14ac:dyDescent="0.2">
      <c r="A455" s="903"/>
      <c r="B455" s="903"/>
      <c r="C455" s="903"/>
      <c r="D455" s="903"/>
      <c r="E455" s="903"/>
      <c r="R455" s="904"/>
      <c r="S455" s="904"/>
      <c r="T455" s="904"/>
      <c r="U455" s="904"/>
      <c r="V455" s="904"/>
      <c r="W455" s="904"/>
      <c r="X455" s="904"/>
      <c r="Y455" s="904"/>
    </row>
    <row r="456" spans="1:25" x14ac:dyDescent="0.2">
      <c r="A456" s="903"/>
      <c r="B456" s="903"/>
      <c r="C456" s="903"/>
      <c r="D456" s="903"/>
      <c r="E456" s="903"/>
      <c r="R456" s="904"/>
      <c r="S456" s="904"/>
      <c r="T456" s="904"/>
      <c r="U456" s="904"/>
      <c r="V456" s="904"/>
      <c r="W456" s="904"/>
      <c r="X456" s="904"/>
      <c r="Y456" s="904"/>
    </row>
    <row r="457" spans="1:25" x14ac:dyDescent="0.2">
      <c r="A457" s="903"/>
      <c r="B457" s="903"/>
      <c r="C457" s="903"/>
      <c r="D457" s="903"/>
      <c r="E457" s="903"/>
      <c r="R457" s="904"/>
      <c r="S457" s="904"/>
      <c r="T457" s="904"/>
      <c r="U457" s="904"/>
      <c r="V457" s="904"/>
      <c r="W457" s="904"/>
      <c r="X457" s="904"/>
      <c r="Y457" s="904"/>
    </row>
    <row r="458" spans="1:25" x14ac:dyDescent="0.2">
      <c r="A458" s="903"/>
      <c r="B458" s="903"/>
      <c r="C458" s="903"/>
      <c r="D458" s="903"/>
      <c r="E458" s="903"/>
      <c r="R458" s="904"/>
      <c r="S458" s="904"/>
      <c r="T458" s="904"/>
      <c r="U458" s="904"/>
      <c r="V458" s="904"/>
      <c r="W458" s="904"/>
      <c r="X458" s="904"/>
      <c r="Y458" s="904"/>
    </row>
    <row r="459" spans="1:25" x14ac:dyDescent="0.2">
      <c r="A459" s="903"/>
      <c r="B459" s="903"/>
      <c r="C459" s="903"/>
      <c r="D459" s="903"/>
      <c r="E459" s="903"/>
      <c r="R459" s="904"/>
      <c r="S459" s="904"/>
      <c r="T459" s="904"/>
      <c r="U459" s="904"/>
      <c r="V459" s="904"/>
      <c r="W459" s="904"/>
      <c r="X459" s="904"/>
      <c r="Y459" s="904"/>
    </row>
    <row r="460" spans="1:25" x14ac:dyDescent="0.2">
      <c r="A460" s="903"/>
      <c r="B460" s="903"/>
      <c r="C460" s="903"/>
      <c r="D460" s="903"/>
      <c r="E460" s="903"/>
      <c r="R460" s="904"/>
      <c r="S460" s="904"/>
      <c r="T460" s="904"/>
      <c r="U460" s="904"/>
      <c r="V460" s="904"/>
      <c r="W460" s="904"/>
      <c r="X460" s="904"/>
      <c r="Y460" s="904"/>
    </row>
    <row r="461" spans="1:25" x14ac:dyDescent="0.2">
      <c r="A461" s="903"/>
      <c r="B461" s="903"/>
      <c r="C461" s="903"/>
      <c r="D461" s="903"/>
      <c r="E461" s="903"/>
      <c r="R461" s="904"/>
      <c r="S461" s="904"/>
      <c r="T461" s="904"/>
      <c r="U461" s="904"/>
      <c r="V461" s="904"/>
      <c r="W461" s="904"/>
      <c r="X461" s="904"/>
      <c r="Y461" s="904"/>
    </row>
    <row r="462" spans="1:25" x14ac:dyDescent="0.2">
      <c r="A462" s="903"/>
      <c r="B462" s="903"/>
      <c r="C462" s="903"/>
      <c r="D462" s="903"/>
      <c r="E462" s="903"/>
      <c r="R462" s="904"/>
      <c r="S462" s="904"/>
      <c r="T462" s="904"/>
      <c r="U462" s="904"/>
      <c r="V462" s="904"/>
      <c r="W462" s="904"/>
      <c r="X462" s="904"/>
      <c r="Y462" s="904"/>
    </row>
    <row r="463" spans="1:25" x14ac:dyDescent="0.2">
      <c r="A463" s="903"/>
      <c r="B463" s="903"/>
      <c r="C463" s="903"/>
      <c r="D463" s="903"/>
      <c r="E463" s="903"/>
      <c r="R463" s="904"/>
      <c r="S463" s="904"/>
      <c r="T463" s="904"/>
      <c r="U463" s="904"/>
      <c r="V463" s="904"/>
      <c r="W463" s="904"/>
      <c r="X463" s="904"/>
      <c r="Y463" s="904"/>
    </row>
    <row r="464" spans="1:25" x14ac:dyDescent="0.2">
      <c r="A464" s="903"/>
      <c r="B464" s="903"/>
      <c r="C464" s="903"/>
      <c r="D464" s="903"/>
      <c r="E464" s="903"/>
      <c r="R464" s="904"/>
      <c r="S464" s="904"/>
      <c r="T464" s="904"/>
      <c r="U464" s="904"/>
      <c r="V464" s="904"/>
      <c r="W464" s="904"/>
      <c r="X464" s="904"/>
      <c r="Y464" s="904"/>
    </row>
    <row r="465" spans="1:25" x14ac:dyDescent="0.2">
      <c r="A465" s="903"/>
      <c r="B465" s="903"/>
      <c r="C465" s="903"/>
      <c r="D465" s="903"/>
      <c r="E465" s="903"/>
      <c r="R465" s="904"/>
      <c r="S465" s="904"/>
      <c r="T465" s="904"/>
      <c r="U465" s="904"/>
      <c r="V465" s="904"/>
      <c r="W465" s="904"/>
      <c r="X465" s="904"/>
      <c r="Y465" s="904"/>
    </row>
    <row r="466" spans="1:25" x14ac:dyDescent="0.2">
      <c r="A466" s="903"/>
      <c r="B466" s="903"/>
      <c r="C466" s="903"/>
      <c r="D466" s="903"/>
      <c r="E466" s="903"/>
      <c r="R466" s="904"/>
      <c r="S466" s="904"/>
      <c r="T466" s="904"/>
      <c r="U466" s="904"/>
      <c r="V466" s="904"/>
      <c r="W466" s="904"/>
      <c r="X466" s="904"/>
      <c r="Y466" s="904"/>
    </row>
    <row r="467" spans="1:25" x14ac:dyDescent="0.2">
      <c r="A467" s="903"/>
      <c r="B467" s="903"/>
      <c r="C467" s="903"/>
      <c r="D467" s="903"/>
      <c r="E467" s="903"/>
      <c r="R467" s="904"/>
      <c r="S467" s="904"/>
      <c r="T467" s="904"/>
      <c r="U467" s="904"/>
      <c r="V467" s="904"/>
      <c r="W467" s="904"/>
      <c r="X467" s="904"/>
      <c r="Y467" s="904"/>
    </row>
    <row r="468" spans="1:25" x14ac:dyDescent="0.2">
      <c r="A468" s="903"/>
      <c r="B468" s="903"/>
      <c r="C468" s="903"/>
      <c r="D468" s="903"/>
      <c r="E468" s="903"/>
      <c r="R468" s="904"/>
      <c r="S468" s="904"/>
      <c r="T468" s="904"/>
      <c r="U468" s="904"/>
      <c r="V468" s="904"/>
      <c r="W468" s="904"/>
      <c r="X468" s="904"/>
      <c r="Y468" s="904"/>
    </row>
    <row r="469" spans="1:25" x14ac:dyDescent="0.2">
      <c r="A469" s="903"/>
      <c r="B469" s="903"/>
      <c r="C469" s="903"/>
      <c r="D469" s="903"/>
      <c r="E469" s="903"/>
      <c r="R469" s="904"/>
      <c r="S469" s="904"/>
      <c r="T469" s="904"/>
      <c r="U469" s="904"/>
      <c r="V469" s="904"/>
      <c r="W469" s="904"/>
      <c r="X469" s="904"/>
      <c r="Y469" s="904"/>
    </row>
    <row r="470" spans="1:25" x14ac:dyDescent="0.2">
      <c r="A470" s="903"/>
      <c r="B470" s="903"/>
      <c r="C470" s="903"/>
      <c r="D470" s="903"/>
      <c r="E470" s="903"/>
      <c r="R470" s="904"/>
      <c r="S470" s="904"/>
      <c r="T470" s="904"/>
      <c r="U470" s="904"/>
      <c r="V470" s="904"/>
      <c r="W470" s="904"/>
      <c r="X470" s="904"/>
      <c r="Y470" s="904"/>
    </row>
    <row r="471" spans="1:25" x14ac:dyDescent="0.2">
      <c r="A471" s="903"/>
      <c r="B471" s="903"/>
      <c r="C471" s="903"/>
      <c r="D471" s="903"/>
      <c r="E471" s="903"/>
      <c r="R471" s="904"/>
      <c r="S471" s="904"/>
      <c r="T471" s="904"/>
      <c r="U471" s="904"/>
      <c r="V471" s="904"/>
      <c r="W471" s="904"/>
      <c r="X471" s="904"/>
      <c r="Y471" s="904"/>
    </row>
    <row r="472" spans="1:25" x14ac:dyDescent="0.2">
      <c r="A472" s="903"/>
      <c r="B472" s="903"/>
      <c r="C472" s="903"/>
      <c r="D472" s="903"/>
      <c r="E472" s="903"/>
      <c r="R472" s="904"/>
      <c r="S472" s="904"/>
      <c r="T472" s="904"/>
      <c r="U472" s="904"/>
      <c r="V472" s="904"/>
      <c r="W472" s="904"/>
      <c r="X472" s="904"/>
      <c r="Y472" s="904"/>
    </row>
    <row r="473" spans="1:25" x14ac:dyDescent="0.2">
      <c r="A473" s="903"/>
      <c r="B473" s="903"/>
      <c r="C473" s="903"/>
      <c r="D473" s="903"/>
      <c r="E473" s="903"/>
      <c r="R473" s="904"/>
      <c r="S473" s="904"/>
      <c r="T473" s="904"/>
      <c r="U473" s="904"/>
      <c r="V473" s="904"/>
      <c r="W473" s="904"/>
      <c r="X473" s="904"/>
      <c r="Y473" s="904"/>
    </row>
    <row r="474" spans="1:25" x14ac:dyDescent="0.2">
      <c r="A474" s="903"/>
      <c r="B474" s="903"/>
      <c r="C474" s="903"/>
      <c r="D474" s="903"/>
      <c r="E474" s="903"/>
      <c r="R474" s="904"/>
      <c r="S474" s="904"/>
      <c r="T474" s="904"/>
      <c r="U474" s="904"/>
      <c r="V474" s="904"/>
      <c r="W474" s="904"/>
      <c r="X474" s="904"/>
      <c r="Y474" s="904"/>
    </row>
    <row r="475" spans="1:25" x14ac:dyDescent="0.2">
      <c r="A475" s="903"/>
      <c r="B475" s="903"/>
      <c r="C475" s="903"/>
      <c r="D475" s="903"/>
      <c r="E475" s="903"/>
      <c r="R475" s="904"/>
      <c r="S475" s="904"/>
      <c r="T475" s="904"/>
      <c r="U475" s="904"/>
      <c r="V475" s="904"/>
      <c r="W475" s="904"/>
      <c r="X475" s="904"/>
      <c r="Y475" s="904"/>
    </row>
    <row r="476" spans="1:25" x14ac:dyDescent="0.2">
      <c r="A476" s="903"/>
      <c r="B476" s="903"/>
      <c r="C476" s="903"/>
      <c r="D476" s="903"/>
      <c r="E476" s="903"/>
      <c r="R476" s="904"/>
      <c r="S476" s="904"/>
      <c r="T476" s="904"/>
      <c r="U476" s="904"/>
      <c r="V476" s="904"/>
      <c r="W476" s="904"/>
      <c r="X476" s="904"/>
      <c r="Y476" s="904"/>
    </row>
    <row r="477" spans="1:25" x14ac:dyDescent="0.2">
      <c r="A477" s="903"/>
      <c r="B477" s="903"/>
      <c r="C477" s="903"/>
      <c r="D477" s="903"/>
      <c r="E477" s="903"/>
      <c r="R477" s="904"/>
      <c r="S477" s="904"/>
      <c r="T477" s="904"/>
      <c r="U477" s="904"/>
      <c r="V477" s="904"/>
      <c r="W477" s="904"/>
      <c r="X477" s="904"/>
      <c r="Y477" s="904"/>
    </row>
    <row r="478" spans="1:25" x14ac:dyDescent="0.2">
      <c r="A478" s="903"/>
      <c r="B478" s="903"/>
      <c r="C478" s="903"/>
      <c r="D478" s="903"/>
      <c r="E478" s="903"/>
      <c r="R478" s="904"/>
      <c r="S478" s="904"/>
      <c r="T478" s="904"/>
      <c r="U478" s="904"/>
      <c r="V478" s="904"/>
      <c r="W478" s="904"/>
      <c r="X478" s="904"/>
      <c r="Y478" s="904"/>
    </row>
    <row r="479" spans="1:25" x14ac:dyDescent="0.2">
      <c r="A479" s="903"/>
      <c r="B479" s="903"/>
      <c r="C479" s="903"/>
      <c r="D479" s="903"/>
      <c r="E479" s="903"/>
      <c r="R479" s="904"/>
      <c r="S479" s="904"/>
      <c r="T479" s="904"/>
      <c r="U479" s="904"/>
      <c r="V479" s="904"/>
      <c r="W479" s="904"/>
      <c r="X479" s="904"/>
      <c r="Y479" s="904"/>
    </row>
    <row r="480" spans="1:25" x14ac:dyDescent="0.2">
      <c r="A480" s="903"/>
      <c r="B480" s="903"/>
      <c r="C480" s="903"/>
      <c r="D480" s="903"/>
      <c r="E480" s="903"/>
      <c r="R480" s="904"/>
      <c r="S480" s="904"/>
      <c r="T480" s="904"/>
      <c r="U480" s="904"/>
      <c r="V480" s="904"/>
      <c r="W480" s="904"/>
      <c r="X480" s="904"/>
      <c r="Y480" s="904"/>
    </row>
    <row r="481" spans="1:25" x14ac:dyDescent="0.2">
      <c r="A481" s="903"/>
      <c r="B481" s="903"/>
      <c r="C481" s="903"/>
      <c r="D481" s="903"/>
      <c r="E481" s="903"/>
      <c r="R481" s="904"/>
      <c r="S481" s="904"/>
      <c r="T481" s="904"/>
      <c r="U481" s="904"/>
      <c r="V481" s="904"/>
      <c r="W481" s="904"/>
      <c r="X481" s="904"/>
      <c r="Y481" s="904"/>
    </row>
    <row r="482" spans="1:25" x14ac:dyDescent="0.2">
      <c r="A482" s="903"/>
      <c r="B482" s="903"/>
      <c r="C482" s="903"/>
      <c r="D482" s="903"/>
      <c r="E482" s="903"/>
      <c r="R482" s="904"/>
      <c r="S482" s="904"/>
      <c r="T482" s="904"/>
      <c r="U482" s="904"/>
      <c r="V482" s="904"/>
      <c r="W482" s="904"/>
      <c r="X482" s="904"/>
      <c r="Y482" s="904"/>
    </row>
    <row r="483" spans="1:25" x14ac:dyDescent="0.2">
      <c r="A483" s="903"/>
      <c r="B483" s="903"/>
      <c r="C483" s="903"/>
      <c r="D483" s="903"/>
      <c r="E483" s="903"/>
      <c r="R483" s="904"/>
      <c r="S483" s="904"/>
      <c r="T483" s="904"/>
      <c r="U483" s="904"/>
      <c r="V483" s="904"/>
      <c r="W483" s="904"/>
      <c r="X483" s="904"/>
      <c r="Y483" s="904"/>
    </row>
    <row r="484" spans="1:25" x14ac:dyDescent="0.2">
      <c r="A484" s="903"/>
      <c r="B484" s="903"/>
      <c r="C484" s="903"/>
      <c r="D484" s="903"/>
      <c r="E484" s="903"/>
      <c r="R484" s="904"/>
      <c r="S484" s="904"/>
      <c r="T484" s="904"/>
      <c r="U484" s="904"/>
      <c r="V484" s="904"/>
      <c r="W484" s="904"/>
      <c r="X484" s="904"/>
      <c r="Y484" s="904"/>
    </row>
    <row r="485" spans="1:25" x14ac:dyDescent="0.2">
      <c r="A485" s="903"/>
      <c r="B485" s="903"/>
      <c r="C485" s="903"/>
      <c r="D485" s="903"/>
      <c r="E485" s="903"/>
      <c r="R485" s="904"/>
      <c r="S485" s="904"/>
      <c r="T485" s="904"/>
      <c r="U485" s="904"/>
      <c r="V485" s="904"/>
      <c r="W485" s="904"/>
      <c r="X485" s="904"/>
      <c r="Y485" s="904"/>
    </row>
    <row r="486" spans="1:25" x14ac:dyDescent="0.2">
      <c r="A486" s="903"/>
      <c r="B486" s="903"/>
      <c r="C486" s="903"/>
      <c r="D486" s="903"/>
      <c r="E486" s="903"/>
      <c r="R486" s="904"/>
      <c r="S486" s="904"/>
      <c r="T486" s="904"/>
      <c r="U486" s="904"/>
      <c r="V486" s="904"/>
      <c r="W486" s="904"/>
      <c r="X486" s="904"/>
      <c r="Y486" s="904"/>
    </row>
    <row r="487" spans="1:25" x14ac:dyDescent="0.2">
      <c r="A487" s="903"/>
      <c r="B487" s="903"/>
      <c r="C487" s="903"/>
      <c r="D487" s="903"/>
      <c r="E487" s="903"/>
      <c r="R487" s="904"/>
      <c r="S487" s="904"/>
      <c r="T487" s="904"/>
      <c r="U487" s="904"/>
      <c r="V487" s="904"/>
      <c r="W487" s="904"/>
      <c r="X487" s="904"/>
      <c r="Y487" s="904"/>
    </row>
    <row r="488" spans="1:25" x14ac:dyDescent="0.2">
      <c r="A488" s="903"/>
      <c r="B488" s="903"/>
      <c r="C488" s="903"/>
      <c r="D488" s="903"/>
      <c r="E488" s="903"/>
      <c r="R488" s="904"/>
      <c r="S488" s="904"/>
      <c r="T488" s="904"/>
      <c r="U488" s="904"/>
      <c r="V488" s="904"/>
      <c r="W488" s="904"/>
      <c r="X488" s="904"/>
      <c r="Y488" s="904"/>
    </row>
    <row r="489" spans="1:25" x14ac:dyDescent="0.2">
      <c r="A489" s="903"/>
      <c r="B489" s="903"/>
      <c r="C489" s="903"/>
      <c r="D489" s="903"/>
      <c r="E489" s="903"/>
      <c r="R489" s="904"/>
      <c r="S489" s="904"/>
      <c r="T489" s="904"/>
      <c r="U489" s="904"/>
      <c r="V489" s="904"/>
      <c r="W489" s="904"/>
      <c r="X489" s="904"/>
      <c r="Y489" s="904"/>
    </row>
    <row r="490" spans="1:25" x14ac:dyDescent="0.2">
      <c r="A490" s="903"/>
      <c r="B490" s="903"/>
      <c r="C490" s="903"/>
      <c r="D490" s="903"/>
      <c r="E490" s="903"/>
      <c r="R490" s="904"/>
      <c r="S490" s="904"/>
      <c r="T490" s="904"/>
      <c r="U490" s="904"/>
      <c r="V490" s="904"/>
      <c r="W490" s="904"/>
      <c r="X490" s="904"/>
      <c r="Y490" s="904"/>
    </row>
    <row r="491" spans="1:25" x14ac:dyDescent="0.2">
      <c r="A491" s="903"/>
      <c r="B491" s="903"/>
      <c r="C491" s="903"/>
      <c r="D491" s="903"/>
      <c r="E491" s="903"/>
      <c r="R491" s="904"/>
      <c r="S491" s="904"/>
      <c r="T491" s="904"/>
      <c r="U491" s="904"/>
      <c r="V491" s="904"/>
      <c r="W491" s="904"/>
      <c r="X491" s="904"/>
      <c r="Y491" s="904"/>
    </row>
    <row r="492" spans="1:25" x14ac:dyDescent="0.2">
      <c r="A492" s="903"/>
      <c r="B492" s="903"/>
      <c r="C492" s="903"/>
      <c r="D492" s="903"/>
      <c r="E492" s="903"/>
      <c r="R492" s="904"/>
      <c r="S492" s="904"/>
      <c r="T492" s="904"/>
      <c r="U492" s="904"/>
      <c r="V492" s="904"/>
      <c r="W492" s="904"/>
      <c r="X492" s="904"/>
      <c r="Y492" s="904"/>
    </row>
    <row r="493" spans="1:25" x14ac:dyDescent="0.2">
      <c r="A493" s="903"/>
      <c r="B493" s="903"/>
      <c r="C493" s="903"/>
      <c r="D493" s="903"/>
      <c r="E493" s="903"/>
      <c r="R493" s="904"/>
      <c r="S493" s="904"/>
      <c r="T493" s="904"/>
      <c r="U493" s="904"/>
      <c r="V493" s="904"/>
      <c r="W493" s="904"/>
      <c r="X493" s="904"/>
      <c r="Y493" s="904"/>
    </row>
    <row r="494" spans="1:25" x14ac:dyDescent="0.2">
      <c r="A494" s="903"/>
      <c r="B494" s="903"/>
      <c r="C494" s="903"/>
      <c r="D494" s="903"/>
      <c r="E494" s="903"/>
      <c r="R494" s="904"/>
      <c r="S494" s="904"/>
      <c r="T494" s="904"/>
      <c r="U494" s="904"/>
      <c r="V494" s="904"/>
      <c r="W494" s="904"/>
      <c r="X494" s="904"/>
      <c r="Y494" s="904"/>
    </row>
    <row r="495" spans="1:25" x14ac:dyDescent="0.2">
      <c r="A495" s="903"/>
      <c r="B495" s="903"/>
      <c r="C495" s="903"/>
      <c r="D495" s="903"/>
      <c r="E495" s="903"/>
      <c r="R495" s="904"/>
      <c r="S495" s="904"/>
      <c r="T495" s="904"/>
      <c r="U495" s="904"/>
      <c r="V495" s="904"/>
      <c r="W495" s="904"/>
      <c r="X495" s="904"/>
      <c r="Y495" s="904"/>
    </row>
    <row r="496" spans="1:25" x14ac:dyDescent="0.2">
      <c r="A496" s="903"/>
      <c r="B496" s="903"/>
      <c r="C496" s="903"/>
      <c r="D496" s="903"/>
      <c r="E496" s="903"/>
      <c r="R496" s="904"/>
      <c r="S496" s="904"/>
      <c r="T496" s="904"/>
      <c r="U496" s="904"/>
      <c r="V496" s="904"/>
      <c r="W496" s="904"/>
      <c r="X496" s="904"/>
      <c r="Y496" s="904"/>
    </row>
    <row r="497" spans="1:25" x14ac:dyDescent="0.2">
      <c r="A497" s="903"/>
      <c r="B497" s="903"/>
      <c r="C497" s="903"/>
      <c r="D497" s="903"/>
      <c r="E497" s="903"/>
      <c r="R497" s="904"/>
      <c r="S497" s="904"/>
      <c r="T497" s="904"/>
      <c r="U497" s="904"/>
      <c r="V497" s="904"/>
      <c r="W497" s="904"/>
      <c r="X497" s="904"/>
      <c r="Y497" s="904"/>
    </row>
    <row r="498" spans="1:25" x14ac:dyDescent="0.2">
      <c r="A498" s="903"/>
      <c r="B498" s="903"/>
      <c r="C498" s="903"/>
      <c r="D498" s="903"/>
      <c r="E498" s="903"/>
      <c r="R498" s="904"/>
      <c r="S498" s="904"/>
      <c r="T498" s="904"/>
      <c r="U498" s="904"/>
      <c r="V498" s="904"/>
      <c r="W498" s="904"/>
      <c r="X498" s="904"/>
      <c r="Y498" s="904"/>
    </row>
    <row r="499" spans="1:25" x14ac:dyDescent="0.2">
      <c r="A499" s="903"/>
      <c r="B499" s="903"/>
      <c r="C499" s="903"/>
      <c r="D499" s="903"/>
      <c r="E499" s="903"/>
      <c r="R499" s="904"/>
      <c r="S499" s="904"/>
      <c r="T499" s="904"/>
      <c r="U499" s="904"/>
      <c r="V499" s="904"/>
      <c r="W499" s="904"/>
      <c r="X499" s="904"/>
      <c r="Y499" s="904"/>
    </row>
    <row r="500" spans="1:25" x14ac:dyDescent="0.2">
      <c r="A500" s="903"/>
      <c r="B500" s="903"/>
      <c r="C500" s="903"/>
      <c r="D500" s="903"/>
      <c r="E500" s="903"/>
      <c r="R500" s="904"/>
      <c r="S500" s="904"/>
      <c r="T500" s="904"/>
      <c r="U500" s="904"/>
      <c r="V500" s="904"/>
      <c r="W500" s="904"/>
      <c r="X500" s="904"/>
      <c r="Y500" s="904"/>
    </row>
    <row r="501" spans="1:25" x14ac:dyDescent="0.2">
      <c r="A501" s="903"/>
      <c r="B501" s="903"/>
      <c r="C501" s="903"/>
      <c r="D501" s="903"/>
      <c r="E501" s="903"/>
      <c r="R501" s="904"/>
      <c r="S501" s="904"/>
      <c r="T501" s="904"/>
      <c r="U501" s="904"/>
      <c r="V501" s="904"/>
      <c r="W501" s="904"/>
      <c r="X501" s="904"/>
      <c r="Y501" s="904"/>
    </row>
    <row r="502" spans="1:25" x14ac:dyDescent="0.2">
      <c r="A502" s="903"/>
      <c r="B502" s="903"/>
      <c r="C502" s="903"/>
      <c r="D502" s="903"/>
      <c r="E502" s="903"/>
      <c r="R502" s="904"/>
      <c r="S502" s="904"/>
      <c r="T502" s="904"/>
      <c r="U502" s="904"/>
      <c r="V502" s="904"/>
      <c r="W502" s="904"/>
      <c r="X502" s="904"/>
      <c r="Y502" s="904"/>
    </row>
    <row r="503" spans="1:25" x14ac:dyDescent="0.2">
      <c r="A503" s="903"/>
      <c r="B503" s="903"/>
      <c r="C503" s="903"/>
      <c r="D503" s="903"/>
      <c r="E503" s="903"/>
      <c r="R503" s="904"/>
      <c r="S503" s="904"/>
      <c r="T503" s="904"/>
      <c r="U503" s="904"/>
      <c r="V503" s="904"/>
      <c r="W503" s="904"/>
      <c r="X503" s="904"/>
      <c r="Y503" s="904"/>
    </row>
    <row r="504" spans="1:25" x14ac:dyDescent="0.2">
      <c r="A504" s="903"/>
      <c r="B504" s="903"/>
      <c r="C504" s="903"/>
      <c r="D504" s="903"/>
      <c r="E504" s="903"/>
      <c r="R504" s="904"/>
      <c r="S504" s="904"/>
      <c r="T504" s="904"/>
      <c r="U504" s="904"/>
      <c r="V504" s="904"/>
      <c r="W504" s="904"/>
      <c r="X504" s="904"/>
      <c r="Y504" s="904"/>
    </row>
    <row r="505" spans="1:25" x14ac:dyDescent="0.2">
      <c r="A505" s="903"/>
      <c r="B505" s="903"/>
      <c r="C505" s="903"/>
      <c r="D505" s="903"/>
      <c r="E505" s="903"/>
      <c r="R505" s="904"/>
      <c r="S505" s="904"/>
      <c r="T505" s="904"/>
      <c r="U505" s="904"/>
      <c r="V505" s="904"/>
      <c r="W505" s="904"/>
      <c r="X505" s="904"/>
      <c r="Y505" s="904"/>
    </row>
    <row r="506" spans="1:25" x14ac:dyDescent="0.2">
      <c r="A506" s="903"/>
      <c r="B506" s="903"/>
      <c r="C506" s="903"/>
      <c r="D506" s="903"/>
      <c r="E506" s="903"/>
      <c r="R506" s="904"/>
      <c r="S506" s="904"/>
      <c r="T506" s="904"/>
      <c r="U506" s="904"/>
      <c r="V506" s="904"/>
      <c r="W506" s="904"/>
      <c r="X506" s="904"/>
      <c r="Y506" s="904"/>
    </row>
    <row r="507" spans="1:25" x14ac:dyDescent="0.2">
      <c r="A507" s="903"/>
      <c r="B507" s="903"/>
      <c r="C507" s="903"/>
      <c r="D507" s="903"/>
      <c r="E507" s="903"/>
      <c r="R507" s="904"/>
      <c r="S507" s="904"/>
      <c r="T507" s="904"/>
      <c r="U507" s="904"/>
      <c r="V507" s="904"/>
      <c r="W507" s="904"/>
      <c r="X507" s="904"/>
      <c r="Y507" s="904"/>
    </row>
    <row r="508" spans="1:25" x14ac:dyDescent="0.2">
      <c r="A508" s="903"/>
      <c r="B508" s="903"/>
      <c r="C508" s="903"/>
      <c r="D508" s="903"/>
      <c r="E508" s="903"/>
      <c r="R508" s="904"/>
      <c r="S508" s="904"/>
      <c r="T508" s="904"/>
      <c r="U508" s="904"/>
      <c r="V508" s="904"/>
      <c r="W508" s="904"/>
      <c r="X508" s="904"/>
      <c r="Y508" s="904"/>
    </row>
    <row r="509" spans="1:25" x14ac:dyDescent="0.2">
      <c r="A509" s="903"/>
      <c r="B509" s="903"/>
      <c r="C509" s="903"/>
      <c r="D509" s="903"/>
      <c r="E509" s="903"/>
      <c r="R509" s="904"/>
      <c r="S509" s="904"/>
      <c r="T509" s="904"/>
      <c r="U509" s="904"/>
      <c r="V509" s="904"/>
      <c r="W509" s="904"/>
      <c r="X509" s="904"/>
      <c r="Y509" s="904"/>
    </row>
    <row r="510" spans="1:25" x14ac:dyDescent="0.2">
      <c r="A510" s="903"/>
      <c r="B510" s="903"/>
      <c r="C510" s="903"/>
      <c r="D510" s="903"/>
      <c r="E510" s="903"/>
      <c r="R510" s="904"/>
      <c r="S510" s="904"/>
      <c r="T510" s="904"/>
      <c r="U510" s="904"/>
      <c r="V510" s="904"/>
      <c r="W510" s="904"/>
      <c r="X510" s="904"/>
      <c r="Y510" s="904"/>
    </row>
    <row r="511" spans="1:25" x14ac:dyDescent="0.2">
      <c r="A511" s="903"/>
      <c r="B511" s="903"/>
      <c r="C511" s="903"/>
      <c r="D511" s="903"/>
      <c r="E511" s="903"/>
      <c r="R511" s="904"/>
      <c r="S511" s="904"/>
      <c r="T511" s="904"/>
      <c r="U511" s="904"/>
      <c r="V511" s="904"/>
      <c r="W511" s="904"/>
      <c r="X511" s="904"/>
      <c r="Y511" s="904"/>
    </row>
    <row r="512" spans="1:25" x14ac:dyDescent="0.2">
      <c r="A512" s="903"/>
      <c r="B512" s="903"/>
      <c r="C512" s="903"/>
      <c r="D512" s="903"/>
      <c r="E512" s="903"/>
      <c r="R512" s="904"/>
      <c r="S512" s="904"/>
      <c r="T512" s="904"/>
      <c r="U512" s="904"/>
      <c r="V512" s="904"/>
      <c r="W512" s="904"/>
      <c r="X512" s="904"/>
      <c r="Y512" s="904"/>
    </row>
    <row r="513" spans="1:25" x14ac:dyDescent="0.2">
      <c r="A513" s="903"/>
      <c r="B513" s="903"/>
      <c r="C513" s="903"/>
      <c r="D513" s="903"/>
      <c r="E513" s="903"/>
      <c r="R513" s="904"/>
      <c r="S513" s="904"/>
      <c r="T513" s="904"/>
      <c r="U513" s="904"/>
      <c r="V513" s="904"/>
      <c r="W513" s="904"/>
      <c r="X513" s="904"/>
      <c r="Y513" s="904"/>
    </row>
    <row r="514" spans="1:25" x14ac:dyDescent="0.2">
      <c r="A514" s="903"/>
      <c r="B514" s="903"/>
      <c r="C514" s="903"/>
      <c r="D514" s="903"/>
      <c r="E514" s="903"/>
      <c r="R514" s="904"/>
      <c r="S514" s="904"/>
      <c r="T514" s="904"/>
      <c r="U514" s="904"/>
      <c r="V514" s="904"/>
      <c r="W514" s="904"/>
      <c r="X514" s="904"/>
      <c r="Y514" s="904"/>
    </row>
    <row r="515" spans="1:25" x14ac:dyDescent="0.2">
      <c r="A515" s="903"/>
      <c r="B515" s="903"/>
      <c r="C515" s="903"/>
      <c r="D515" s="903"/>
      <c r="E515" s="903"/>
      <c r="R515" s="904"/>
      <c r="S515" s="904"/>
      <c r="T515" s="904"/>
      <c r="U515" s="904"/>
      <c r="V515" s="904"/>
      <c r="W515" s="904"/>
      <c r="X515" s="904"/>
      <c r="Y515" s="904"/>
    </row>
    <row r="516" spans="1:25" x14ac:dyDescent="0.2">
      <c r="A516" s="903"/>
      <c r="B516" s="903"/>
      <c r="C516" s="903"/>
      <c r="D516" s="903"/>
      <c r="E516" s="903"/>
      <c r="R516" s="904"/>
      <c r="S516" s="904"/>
      <c r="T516" s="904"/>
      <c r="U516" s="904"/>
      <c r="V516" s="904"/>
      <c r="W516" s="904"/>
      <c r="X516" s="904"/>
      <c r="Y516" s="904"/>
    </row>
    <row r="517" spans="1:25" x14ac:dyDescent="0.2">
      <c r="A517" s="903"/>
      <c r="B517" s="903"/>
      <c r="C517" s="903"/>
      <c r="D517" s="903"/>
      <c r="E517" s="903"/>
      <c r="R517" s="904"/>
      <c r="S517" s="904"/>
      <c r="T517" s="904"/>
      <c r="U517" s="904"/>
      <c r="V517" s="904"/>
      <c r="W517" s="904"/>
      <c r="X517" s="904"/>
      <c r="Y517" s="904"/>
    </row>
    <row r="518" spans="1:25" x14ac:dyDescent="0.2">
      <c r="A518" s="903"/>
      <c r="B518" s="903"/>
      <c r="C518" s="903"/>
      <c r="D518" s="903"/>
      <c r="E518" s="903"/>
      <c r="R518" s="904"/>
      <c r="S518" s="904"/>
      <c r="T518" s="904"/>
      <c r="U518" s="904"/>
      <c r="V518" s="904"/>
      <c r="W518" s="904"/>
      <c r="X518" s="904"/>
      <c r="Y518" s="904"/>
    </row>
    <row r="519" spans="1:25" x14ac:dyDescent="0.2">
      <c r="A519" s="903"/>
      <c r="B519" s="903"/>
      <c r="C519" s="903"/>
      <c r="D519" s="903"/>
      <c r="E519" s="903"/>
      <c r="R519" s="904"/>
      <c r="S519" s="904"/>
      <c r="T519" s="904"/>
      <c r="U519" s="904"/>
      <c r="V519" s="904"/>
      <c r="W519" s="904"/>
      <c r="X519" s="904"/>
      <c r="Y519" s="904"/>
    </row>
    <row r="520" spans="1:25" x14ac:dyDescent="0.2">
      <c r="A520" s="903"/>
      <c r="B520" s="903"/>
      <c r="C520" s="903"/>
      <c r="D520" s="903"/>
      <c r="E520" s="903"/>
      <c r="R520" s="904"/>
      <c r="S520" s="904"/>
      <c r="T520" s="904"/>
      <c r="U520" s="904"/>
      <c r="V520" s="904"/>
      <c r="W520" s="904"/>
      <c r="X520" s="904"/>
      <c r="Y520" s="904"/>
    </row>
    <row r="521" spans="1:25" x14ac:dyDescent="0.2">
      <c r="A521" s="903"/>
      <c r="B521" s="903"/>
      <c r="C521" s="903"/>
      <c r="D521" s="903"/>
      <c r="E521" s="903"/>
      <c r="R521" s="904"/>
      <c r="S521" s="904"/>
      <c r="T521" s="904"/>
      <c r="U521" s="904"/>
      <c r="V521" s="904"/>
      <c r="W521" s="904"/>
      <c r="X521" s="904"/>
      <c r="Y521" s="904"/>
    </row>
    <row r="522" spans="1:25" x14ac:dyDescent="0.2">
      <c r="A522" s="903"/>
      <c r="B522" s="903"/>
      <c r="C522" s="903"/>
      <c r="D522" s="903"/>
      <c r="E522" s="903"/>
      <c r="R522" s="904"/>
      <c r="S522" s="904"/>
      <c r="T522" s="904"/>
      <c r="U522" s="904"/>
      <c r="V522" s="904"/>
      <c r="W522" s="904"/>
      <c r="X522" s="904"/>
      <c r="Y522" s="904"/>
    </row>
    <row r="523" spans="1:25" x14ac:dyDescent="0.2">
      <c r="A523" s="903"/>
      <c r="B523" s="903"/>
      <c r="C523" s="903"/>
      <c r="D523" s="903"/>
      <c r="E523" s="903"/>
      <c r="R523" s="904"/>
      <c r="S523" s="904"/>
      <c r="T523" s="904"/>
      <c r="U523" s="904"/>
      <c r="V523" s="904"/>
      <c r="W523" s="904"/>
      <c r="X523" s="904"/>
      <c r="Y523" s="904"/>
    </row>
    <row r="524" spans="1:25" x14ac:dyDescent="0.2">
      <c r="A524" s="903"/>
      <c r="B524" s="903"/>
      <c r="C524" s="903"/>
      <c r="D524" s="903"/>
      <c r="E524" s="903"/>
      <c r="R524" s="904"/>
      <c r="S524" s="904"/>
      <c r="T524" s="904"/>
      <c r="U524" s="904"/>
      <c r="V524" s="904"/>
      <c r="W524" s="904"/>
      <c r="X524" s="904"/>
      <c r="Y524" s="904"/>
    </row>
    <row r="525" spans="1:25" x14ac:dyDescent="0.2">
      <c r="A525" s="903"/>
      <c r="B525" s="903"/>
      <c r="C525" s="903"/>
      <c r="D525" s="903"/>
      <c r="E525" s="903"/>
      <c r="R525" s="904"/>
      <c r="S525" s="904"/>
      <c r="T525" s="904"/>
      <c r="U525" s="904"/>
      <c r="V525" s="904"/>
      <c r="W525" s="904"/>
      <c r="X525" s="904"/>
      <c r="Y525" s="904"/>
    </row>
    <row r="526" spans="1:25" x14ac:dyDescent="0.2">
      <c r="A526" s="903"/>
      <c r="B526" s="903"/>
      <c r="C526" s="903"/>
      <c r="D526" s="903"/>
      <c r="E526" s="903"/>
      <c r="R526" s="904"/>
      <c r="S526" s="904"/>
      <c r="T526" s="904"/>
      <c r="U526" s="904"/>
      <c r="V526" s="904"/>
      <c r="W526" s="904"/>
      <c r="X526" s="904"/>
      <c r="Y526" s="904"/>
    </row>
    <row r="527" spans="1:25" x14ac:dyDescent="0.2">
      <c r="A527" s="903"/>
      <c r="B527" s="903"/>
      <c r="C527" s="903"/>
      <c r="D527" s="903"/>
      <c r="E527" s="903"/>
      <c r="R527" s="904"/>
      <c r="S527" s="904"/>
      <c r="T527" s="904"/>
      <c r="U527" s="904"/>
      <c r="V527" s="904"/>
      <c r="W527" s="904"/>
      <c r="X527" s="904"/>
      <c r="Y527" s="904"/>
    </row>
    <row r="528" spans="1:25" x14ac:dyDescent="0.2">
      <c r="A528" s="903"/>
      <c r="B528" s="903"/>
      <c r="C528" s="903"/>
      <c r="D528" s="903"/>
      <c r="E528" s="903"/>
      <c r="R528" s="904"/>
      <c r="S528" s="904"/>
      <c r="T528" s="904"/>
      <c r="U528" s="904"/>
      <c r="V528" s="904"/>
      <c r="W528" s="904"/>
      <c r="X528" s="904"/>
      <c r="Y528" s="904"/>
    </row>
    <row r="529" spans="1:25" x14ac:dyDescent="0.2">
      <c r="A529" s="903"/>
      <c r="B529" s="903"/>
      <c r="C529" s="903"/>
      <c r="D529" s="903"/>
      <c r="E529" s="903"/>
      <c r="R529" s="904"/>
      <c r="S529" s="904"/>
      <c r="T529" s="904"/>
      <c r="U529" s="904"/>
      <c r="V529" s="904"/>
      <c r="W529" s="904"/>
      <c r="X529" s="904"/>
      <c r="Y529" s="904"/>
    </row>
    <row r="530" spans="1:25" x14ac:dyDescent="0.2">
      <c r="A530" s="903"/>
      <c r="B530" s="903"/>
      <c r="C530" s="903"/>
      <c r="D530" s="903"/>
      <c r="E530" s="903"/>
      <c r="R530" s="904"/>
      <c r="S530" s="904"/>
      <c r="T530" s="904"/>
      <c r="U530" s="904"/>
      <c r="V530" s="904"/>
      <c r="W530" s="904"/>
      <c r="X530" s="904"/>
      <c r="Y530" s="904"/>
    </row>
    <row r="531" spans="1:25" x14ac:dyDescent="0.2">
      <c r="A531" s="903"/>
      <c r="B531" s="903"/>
      <c r="C531" s="903"/>
      <c r="D531" s="903"/>
      <c r="E531" s="903"/>
      <c r="R531" s="904"/>
      <c r="S531" s="904"/>
      <c r="T531" s="904"/>
      <c r="U531" s="904"/>
      <c r="V531" s="904"/>
      <c r="W531" s="904"/>
      <c r="X531" s="904"/>
      <c r="Y531" s="904"/>
    </row>
    <row r="532" spans="1:25" x14ac:dyDescent="0.2">
      <c r="A532" s="903"/>
      <c r="B532" s="903"/>
      <c r="C532" s="903"/>
      <c r="D532" s="903"/>
      <c r="E532" s="903"/>
      <c r="R532" s="904"/>
      <c r="S532" s="904"/>
      <c r="T532" s="904"/>
      <c r="U532" s="904"/>
      <c r="V532" s="904"/>
      <c r="W532" s="904"/>
      <c r="X532" s="904"/>
      <c r="Y532" s="904"/>
    </row>
    <row r="533" spans="1:25" x14ac:dyDescent="0.2">
      <c r="A533" s="903"/>
      <c r="B533" s="903"/>
      <c r="C533" s="903"/>
      <c r="D533" s="903"/>
      <c r="E533" s="903"/>
      <c r="R533" s="904"/>
      <c r="S533" s="904"/>
      <c r="T533" s="904"/>
      <c r="U533" s="904"/>
      <c r="V533" s="904"/>
      <c r="W533" s="904"/>
      <c r="X533" s="904"/>
      <c r="Y533" s="904"/>
    </row>
    <row r="534" spans="1:25" x14ac:dyDescent="0.2">
      <c r="A534" s="903"/>
      <c r="B534" s="903"/>
      <c r="C534" s="903"/>
      <c r="D534" s="903"/>
      <c r="E534" s="903"/>
      <c r="R534" s="904"/>
      <c r="S534" s="904"/>
      <c r="T534" s="904"/>
      <c r="U534" s="904"/>
      <c r="V534" s="904"/>
      <c r="W534" s="904"/>
      <c r="X534" s="904"/>
      <c r="Y534" s="904"/>
    </row>
    <row r="535" spans="1:25" x14ac:dyDescent="0.2">
      <c r="A535" s="903"/>
      <c r="B535" s="903"/>
      <c r="C535" s="903"/>
      <c r="D535" s="903"/>
      <c r="E535" s="903"/>
      <c r="R535" s="904"/>
      <c r="S535" s="904"/>
      <c r="T535" s="904"/>
      <c r="U535" s="904"/>
      <c r="V535" s="904"/>
      <c r="W535" s="904"/>
      <c r="X535" s="904"/>
      <c r="Y535" s="904"/>
    </row>
    <row r="536" spans="1:25" x14ac:dyDescent="0.2">
      <c r="A536" s="903"/>
      <c r="B536" s="903"/>
      <c r="C536" s="903"/>
      <c r="D536" s="903"/>
      <c r="E536" s="903"/>
      <c r="R536" s="904"/>
      <c r="S536" s="904"/>
      <c r="T536" s="904"/>
      <c r="U536" s="904"/>
      <c r="V536" s="904"/>
      <c r="W536" s="904"/>
      <c r="X536" s="904"/>
      <c r="Y536" s="904"/>
    </row>
    <row r="537" spans="1:25" x14ac:dyDescent="0.2">
      <c r="A537" s="903"/>
      <c r="B537" s="903"/>
      <c r="C537" s="903"/>
      <c r="D537" s="903"/>
      <c r="E537" s="903"/>
      <c r="R537" s="904"/>
      <c r="S537" s="904"/>
      <c r="T537" s="904"/>
      <c r="U537" s="904"/>
      <c r="V537" s="904"/>
      <c r="W537" s="904"/>
      <c r="X537" s="904"/>
      <c r="Y537" s="904"/>
    </row>
    <row r="538" spans="1:25" x14ac:dyDescent="0.2">
      <c r="A538" s="903"/>
      <c r="B538" s="903"/>
      <c r="C538" s="903"/>
      <c r="D538" s="903"/>
      <c r="E538" s="903"/>
      <c r="R538" s="904"/>
      <c r="S538" s="904"/>
      <c r="T538" s="904"/>
      <c r="U538" s="904"/>
      <c r="V538" s="904"/>
      <c r="W538" s="904"/>
      <c r="X538" s="904"/>
      <c r="Y538" s="904"/>
    </row>
    <row r="539" spans="1:25" x14ac:dyDescent="0.2">
      <c r="A539" s="903"/>
      <c r="B539" s="903"/>
      <c r="C539" s="903"/>
      <c r="D539" s="903"/>
      <c r="E539" s="903"/>
      <c r="R539" s="904"/>
      <c r="S539" s="904"/>
      <c r="T539" s="904"/>
      <c r="U539" s="904"/>
      <c r="V539" s="904"/>
      <c r="W539" s="904"/>
      <c r="X539" s="904"/>
      <c r="Y539" s="904"/>
    </row>
    <row r="540" spans="1:25" x14ac:dyDescent="0.2">
      <c r="A540" s="903"/>
      <c r="B540" s="903"/>
      <c r="C540" s="903"/>
      <c r="D540" s="903"/>
      <c r="E540" s="903"/>
      <c r="R540" s="904"/>
      <c r="S540" s="904"/>
      <c r="T540" s="904"/>
      <c r="U540" s="904"/>
      <c r="V540" s="904"/>
      <c r="W540" s="904"/>
      <c r="X540" s="904"/>
      <c r="Y540" s="904"/>
    </row>
    <row r="541" spans="1:25" x14ac:dyDescent="0.2">
      <c r="A541" s="903"/>
      <c r="B541" s="903"/>
      <c r="C541" s="903"/>
      <c r="D541" s="903"/>
      <c r="E541" s="903"/>
      <c r="R541" s="904"/>
      <c r="S541" s="904"/>
      <c r="T541" s="904"/>
      <c r="U541" s="904"/>
      <c r="V541" s="904"/>
      <c r="W541" s="904"/>
      <c r="X541" s="904"/>
      <c r="Y541" s="904"/>
    </row>
    <row r="542" spans="1:25" x14ac:dyDescent="0.2">
      <c r="A542" s="903"/>
      <c r="B542" s="903"/>
      <c r="C542" s="903"/>
      <c r="D542" s="903"/>
      <c r="E542" s="903"/>
      <c r="R542" s="904"/>
      <c r="S542" s="904"/>
      <c r="T542" s="904"/>
      <c r="U542" s="904"/>
      <c r="V542" s="904"/>
      <c r="W542" s="904"/>
      <c r="X542" s="904"/>
      <c r="Y542" s="904"/>
    </row>
    <row r="543" spans="1:25" x14ac:dyDescent="0.2">
      <c r="A543" s="903"/>
      <c r="B543" s="903"/>
      <c r="C543" s="903"/>
      <c r="D543" s="903"/>
      <c r="E543" s="903"/>
      <c r="R543" s="904"/>
      <c r="S543" s="904"/>
      <c r="T543" s="904"/>
      <c r="U543" s="904"/>
      <c r="V543" s="904"/>
      <c r="W543" s="904"/>
      <c r="X543" s="904"/>
      <c r="Y543" s="904"/>
    </row>
    <row r="544" spans="1:25" x14ac:dyDescent="0.2">
      <c r="A544" s="903"/>
      <c r="B544" s="903"/>
      <c r="C544" s="903"/>
      <c r="D544" s="903"/>
      <c r="E544" s="903"/>
      <c r="R544" s="904"/>
      <c r="S544" s="904"/>
      <c r="T544" s="904"/>
      <c r="U544" s="904"/>
      <c r="V544" s="904"/>
      <c r="W544" s="904"/>
      <c r="X544" s="904"/>
      <c r="Y544" s="904"/>
    </row>
    <row r="545" spans="1:25" x14ac:dyDescent="0.2">
      <c r="A545" s="903"/>
      <c r="B545" s="903"/>
      <c r="C545" s="903"/>
      <c r="D545" s="903"/>
      <c r="E545" s="903"/>
      <c r="R545" s="904"/>
      <c r="S545" s="904"/>
      <c r="T545" s="904"/>
      <c r="U545" s="904"/>
      <c r="V545" s="904"/>
      <c r="W545" s="904"/>
      <c r="X545" s="904"/>
      <c r="Y545" s="904"/>
    </row>
    <row r="546" spans="1:25" x14ac:dyDescent="0.2">
      <c r="A546" s="903"/>
      <c r="B546" s="903"/>
      <c r="C546" s="903"/>
      <c r="D546" s="903"/>
      <c r="E546" s="903"/>
      <c r="R546" s="904"/>
      <c r="S546" s="904"/>
      <c r="T546" s="904"/>
      <c r="U546" s="904"/>
      <c r="V546" s="904"/>
      <c r="W546" s="904"/>
      <c r="X546" s="904"/>
      <c r="Y546" s="904"/>
    </row>
    <row r="547" spans="1:25" x14ac:dyDescent="0.2">
      <c r="A547" s="903"/>
      <c r="B547" s="903"/>
      <c r="C547" s="903"/>
      <c r="D547" s="903"/>
      <c r="E547" s="903"/>
      <c r="R547" s="904"/>
      <c r="S547" s="904"/>
      <c r="T547" s="904"/>
      <c r="U547" s="904"/>
      <c r="V547" s="904"/>
      <c r="W547" s="904"/>
      <c r="X547" s="904"/>
      <c r="Y547" s="904"/>
    </row>
    <row r="548" spans="1:25" x14ac:dyDescent="0.2">
      <c r="A548" s="903"/>
      <c r="B548" s="903"/>
      <c r="C548" s="903"/>
      <c r="D548" s="903"/>
      <c r="E548" s="903"/>
      <c r="R548" s="904"/>
      <c r="S548" s="904"/>
      <c r="T548" s="904"/>
      <c r="U548" s="904"/>
      <c r="V548" s="904"/>
      <c r="W548" s="904"/>
      <c r="X548" s="904"/>
      <c r="Y548" s="904"/>
    </row>
    <row r="549" spans="1:25" x14ac:dyDescent="0.2">
      <c r="A549" s="903"/>
      <c r="B549" s="903"/>
      <c r="C549" s="903"/>
      <c r="D549" s="903"/>
      <c r="E549" s="903"/>
      <c r="R549" s="904"/>
      <c r="S549" s="904"/>
      <c r="T549" s="904"/>
      <c r="U549" s="904"/>
      <c r="V549" s="904"/>
      <c r="W549" s="904"/>
      <c r="X549" s="904"/>
      <c r="Y549" s="904"/>
    </row>
    <row r="550" spans="1:25" x14ac:dyDescent="0.2">
      <c r="A550" s="903"/>
      <c r="B550" s="903"/>
      <c r="C550" s="903"/>
      <c r="D550" s="903"/>
      <c r="E550" s="903"/>
      <c r="R550" s="904"/>
      <c r="S550" s="904"/>
      <c r="T550" s="904"/>
      <c r="U550" s="904"/>
      <c r="V550" s="904"/>
      <c r="W550" s="904"/>
      <c r="X550" s="904"/>
      <c r="Y550" s="904"/>
    </row>
    <row r="551" spans="1:25" x14ac:dyDescent="0.2">
      <c r="A551" s="903"/>
      <c r="B551" s="903"/>
      <c r="C551" s="903"/>
      <c r="D551" s="903"/>
      <c r="E551" s="903"/>
      <c r="R551" s="904"/>
      <c r="S551" s="904"/>
      <c r="T551" s="904"/>
      <c r="U551" s="904"/>
      <c r="V551" s="904"/>
      <c r="W551" s="904"/>
      <c r="X551" s="904"/>
      <c r="Y551" s="904"/>
    </row>
    <row r="552" spans="1:25" x14ac:dyDescent="0.2">
      <c r="A552" s="903"/>
      <c r="B552" s="903"/>
      <c r="C552" s="903"/>
      <c r="D552" s="903"/>
      <c r="E552" s="903"/>
      <c r="R552" s="904"/>
      <c r="S552" s="904"/>
      <c r="T552" s="904"/>
      <c r="U552" s="904"/>
      <c r="V552" s="904"/>
      <c r="W552" s="904"/>
      <c r="X552" s="904"/>
      <c r="Y552" s="904"/>
    </row>
    <row r="553" spans="1:25" x14ac:dyDescent="0.2">
      <c r="A553" s="903"/>
      <c r="B553" s="903"/>
      <c r="C553" s="903"/>
      <c r="D553" s="903"/>
      <c r="E553" s="903"/>
      <c r="R553" s="904"/>
      <c r="S553" s="904"/>
      <c r="T553" s="904"/>
      <c r="U553" s="904"/>
      <c r="V553" s="904"/>
      <c r="W553" s="904"/>
      <c r="X553" s="904"/>
      <c r="Y553" s="904"/>
    </row>
    <row r="554" spans="1:25" x14ac:dyDescent="0.2">
      <c r="A554" s="903"/>
      <c r="B554" s="903"/>
      <c r="C554" s="903"/>
      <c r="D554" s="903"/>
      <c r="E554" s="903"/>
      <c r="R554" s="904"/>
      <c r="S554" s="904"/>
      <c r="T554" s="904"/>
      <c r="U554" s="904"/>
      <c r="V554" s="904"/>
      <c r="W554" s="904"/>
      <c r="X554" s="904"/>
      <c r="Y554" s="904"/>
    </row>
    <row r="555" spans="1:25" x14ac:dyDescent="0.2">
      <c r="A555" s="903"/>
      <c r="B555" s="903"/>
      <c r="C555" s="903"/>
      <c r="D555" s="903"/>
      <c r="E555" s="903"/>
      <c r="R555" s="904"/>
      <c r="S555" s="904"/>
      <c r="T555" s="904"/>
      <c r="U555" s="904"/>
      <c r="V555" s="904"/>
      <c r="W555" s="904"/>
      <c r="X555" s="904"/>
      <c r="Y555" s="904"/>
    </row>
    <row r="556" spans="1:25" x14ac:dyDescent="0.2">
      <c r="A556" s="903"/>
      <c r="B556" s="903"/>
      <c r="C556" s="903"/>
      <c r="D556" s="903"/>
      <c r="E556" s="903"/>
      <c r="R556" s="904"/>
      <c r="S556" s="904"/>
      <c r="T556" s="904"/>
      <c r="U556" s="904"/>
      <c r="V556" s="904"/>
      <c r="W556" s="904"/>
      <c r="X556" s="904"/>
      <c r="Y556" s="904"/>
    </row>
    <row r="557" spans="1:25" x14ac:dyDescent="0.2">
      <c r="A557" s="903"/>
      <c r="B557" s="903"/>
      <c r="C557" s="903"/>
      <c r="D557" s="903"/>
      <c r="E557" s="903"/>
      <c r="R557" s="904"/>
      <c r="S557" s="904"/>
      <c r="T557" s="904"/>
      <c r="U557" s="904"/>
      <c r="V557" s="904"/>
      <c r="W557" s="904"/>
      <c r="X557" s="904"/>
      <c r="Y557" s="904"/>
    </row>
    <row r="558" spans="1:25" x14ac:dyDescent="0.2">
      <c r="A558" s="903"/>
      <c r="B558" s="903"/>
      <c r="C558" s="903"/>
      <c r="D558" s="903"/>
      <c r="E558" s="903"/>
      <c r="R558" s="904"/>
      <c r="S558" s="904"/>
      <c r="T558" s="904"/>
      <c r="U558" s="904"/>
      <c r="V558" s="904"/>
      <c r="W558" s="904"/>
      <c r="X558" s="904"/>
      <c r="Y558" s="904"/>
    </row>
    <row r="559" spans="1:25" x14ac:dyDescent="0.2">
      <c r="A559" s="903"/>
      <c r="B559" s="903"/>
      <c r="C559" s="903"/>
      <c r="D559" s="903"/>
      <c r="E559" s="903"/>
      <c r="R559" s="904"/>
      <c r="S559" s="904"/>
      <c r="T559" s="904"/>
      <c r="U559" s="904"/>
      <c r="V559" s="904"/>
      <c r="W559" s="904"/>
      <c r="X559" s="904"/>
      <c r="Y559" s="904"/>
    </row>
    <row r="560" spans="1:25" x14ac:dyDescent="0.2">
      <c r="A560" s="903"/>
      <c r="B560" s="903"/>
      <c r="C560" s="903"/>
      <c r="D560" s="903"/>
      <c r="E560" s="903"/>
      <c r="R560" s="904"/>
      <c r="S560" s="904"/>
      <c r="T560" s="904"/>
      <c r="U560" s="904"/>
      <c r="V560" s="904"/>
      <c r="W560" s="904"/>
      <c r="X560" s="904"/>
      <c r="Y560" s="904"/>
    </row>
    <row r="561" spans="1:25" x14ac:dyDescent="0.2">
      <c r="A561" s="903"/>
      <c r="B561" s="903"/>
      <c r="C561" s="903"/>
      <c r="D561" s="903"/>
      <c r="E561" s="903"/>
      <c r="R561" s="904"/>
      <c r="S561" s="904"/>
      <c r="T561" s="904"/>
      <c r="U561" s="904"/>
      <c r="V561" s="904"/>
      <c r="W561" s="904"/>
      <c r="X561" s="904"/>
      <c r="Y561" s="904"/>
    </row>
    <row r="562" spans="1:25" x14ac:dyDescent="0.2">
      <c r="A562" s="903"/>
      <c r="B562" s="903"/>
      <c r="C562" s="903"/>
      <c r="D562" s="903"/>
      <c r="E562" s="903"/>
      <c r="R562" s="904"/>
      <c r="S562" s="904"/>
      <c r="T562" s="904"/>
      <c r="U562" s="904"/>
      <c r="V562" s="904"/>
      <c r="W562" s="904"/>
      <c r="X562" s="904"/>
      <c r="Y562" s="904"/>
    </row>
    <row r="563" spans="1:25" x14ac:dyDescent="0.2">
      <c r="A563" s="903"/>
      <c r="B563" s="903"/>
      <c r="C563" s="903"/>
      <c r="D563" s="903"/>
      <c r="E563" s="903"/>
      <c r="R563" s="904"/>
      <c r="S563" s="904"/>
      <c r="T563" s="904"/>
      <c r="U563" s="904"/>
      <c r="V563" s="904"/>
      <c r="W563" s="904"/>
      <c r="X563" s="904"/>
      <c r="Y563" s="904"/>
    </row>
    <row r="564" spans="1:25" x14ac:dyDescent="0.2">
      <c r="A564" s="903"/>
      <c r="B564" s="903"/>
      <c r="C564" s="903"/>
      <c r="D564" s="903"/>
      <c r="E564" s="903"/>
      <c r="R564" s="904"/>
      <c r="S564" s="904"/>
      <c r="T564" s="904"/>
      <c r="U564" s="904"/>
      <c r="V564" s="904"/>
      <c r="W564" s="904"/>
      <c r="X564" s="904"/>
      <c r="Y564" s="904"/>
    </row>
    <row r="565" spans="1:25" x14ac:dyDescent="0.2">
      <c r="A565" s="903"/>
      <c r="B565" s="903"/>
      <c r="C565" s="903"/>
      <c r="D565" s="903"/>
      <c r="E565" s="903"/>
      <c r="R565" s="904"/>
      <c r="S565" s="904"/>
      <c r="T565" s="904"/>
      <c r="U565" s="904"/>
      <c r="V565" s="904"/>
      <c r="W565" s="904"/>
      <c r="X565" s="904"/>
      <c r="Y565" s="904"/>
    </row>
    <row r="566" spans="1:25" x14ac:dyDescent="0.2">
      <c r="A566" s="903"/>
      <c r="B566" s="903"/>
      <c r="C566" s="903"/>
      <c r="D566" s="903"/>
      <c r="E566" s="903"/>
      <c r="R566" s="904"/>
      <c r="S566" s="904"/>
      <c r="T566" s="904"/>
      <c r="U566" s="904"/>
      <c r="V566" s="904"/>
      <c r="W566" s="904"/>
      <c r="X566" s="904"/>
      <c r="Y566" s="904"/>
    </row>
    <row r="567" spans="1:25" x14ac:dyDescent="0.2">
      <c r="A567" s="903"/>
      <c r="B567" s="903"/>
      <c r="C567" s="903"/>
      <c r="D567" s="903"/>
      <c r="E567" s="903"/>
      <c r="R567" s="904"/>
      <c r="S567" s="904"/>
      <c r="T567" s="904"/>
      <c r="U567" s="904"/>
      <c r="V567" s="904"/>
      <c r="W567" s="904"/>
      <c r="X567" s="904"/>
      <c r="Y567" s="904"/>
    </row>
    <row r="568" spans="1:25" x14ac:dyDescent="0.2">
      <c r="A568" s="903"/>
      <c r="B568" s="903"/>
      <c r="C568" s="903"/>
      <c r="D568" s="903"/>
      <c r="E568" s="903"/>
      <c r="R568" s="904"/>
      <c r="S568" s="904"/>
      <c r="T568" s="904"/>
      <c r="U568" s="904"/>
      <c r="V568" s="904"/>
      <c r="W568" s="904"/>
      <c r="X568" s="904"/>
      <c r="Y568" s="904"/>
    </row>
    <row r="569" spans="1:25" x14ac:dyDescent="0.2">
      <c r="A569" s="903"/>
      <c r="B569" s="903"/>
      <c r="C569" s="903"/>
      <c r="D569" s="903"/>
      <c r="E569" s="903"/>
      <c r="R569" s="904"/>
      <c r="S569" s="904"/>
      <c r="T569" s="904"/>
      <c r="U569" s="904"/>
      <c r="V569" s="904"/>
      <c r="W569" s="904"/>
      <c r="X569" s="904"/>
      <c r="Y569" s="904"/>
    </row>
    <row r="570" spans="1:25" x14ac:dyDescent="0.2">
      <c r="A570" s="903"/>
      <c r="B570" s="903"/>
      <c r="C570" s="903"/>
      <c r="D570" s="903"/>
      <c r="E570" s="903"/>
      <c r="R570" s="904"/>
      <c r="S570" s="904"/>
      <c r="T570" s="904"/>
      <c r="U570" s="904"/>
      <c r="V570" s="904"/>
      <c r="W570" s="904"/>
      <c r="X570" s="904"/>
      <c r="Y570" s="904"/>
    </row>
    <row r="571" spans="1:25" x14ac:dyDescent="0.2">
      <c r="A571" s="903"/>
      <c r="B571" s="903"/>
      <c r="C571" s="903"/>
      <c r="D571" s="903"/>
      <c r="E571" s="903"/>
      <c r="R571" s="904"/>
      <c r="S571" s="904"/>
      <c r="T571" s="904"/>
      <c r="U571" s="904"/>
      <c r="V571" s="904"/>
      <c r="W571" s="904"/>
      <c r="X571" s="904"/>
      <c r="Y571" s="904"/>
    </row>
    <row r="572" spans="1:25" x14ac:dyDescent="0.2">
      <c r="A572" s="903"/>
      <c r="B572" s="903"/>
      <c r="C572" s="903"/>
      <c r="D572" s="903"/>
      <c r="E572" s="903"/>
      <c r="R572" s="904"/>
      <c r="S572" s="904"/>
      <c r="T572" s="904"/>
      <c r="U572" s="904"/>
      <c r="V572" s="904"/>
      <c r="W572" s="904"/>
      <c r="X572" s="904"/>
      <c r="Y572" s="904"/>
    </row>
    <row r="573" spans="1:25" x14ac:dyDescent="0.2">
      <c r="A573" s="903"/>
      <c r="B573" s="903"/>
      <c r="C573" s="903"/>
      <c r="D573" s="903"/>
      <c r="E573" s="903"/>
      <c r="R573" s="904"/>
      <c r="S573" s="904"/>
      <c r="T573" s="904"/>
      <c r="U573" s="904"/>
      <c r="V573" s="904"/>
      <c r="W573" s="904"/>
      <c r="X573" s="904"/>
      <c r="Y573" s="904"/>
    </row>
    <row r="574" spans="1:25" x14ac:dyDescent="0.2">
      <c r="A574" s="903"/>
      <c r="B574" s="903"/>
      <c r="C574" s="903"/>
      <c r="D574" s="903"/>
      <c r="E574" s="903"/>
      <c r="R574" s="904"/>
      <c r="S574" s="904"/>
      <c r="T574" s="904"/>
      <c r="U574" s="904"/>
      <c r="V574" s="904"/>
      <c r="W574" s="904"/>
      <c r="X574" s="904"/>
      <c r="Y574" s="904"/>
    </row>
    <row r="575" spans="1:25" x14ac:dyDescent="0.2">
      <c r="A575" s="903"/>
      <c r="B575" s="903"/>
      <c r="C575" s="903"/>
      <c r="D575" s="903"/>
      <c r="E575" s="903"/>
      <c r="R575" s="904"/>
      <c r="S575" s="904"/>
      <c r="T575" s="904"/>
      <c r="U575" s="904"/>
      <c r="V575" s="904"/>
      <c r="W575" s="904"/>
      <c r="X575" s="904"/>
      <c r="Y575" s="904"/>
    </row>
    <row r="576" spans="1:25" x14ac:dyDescent="0.2">
      <c r="A576" s="903"/>
      <c r="B576" s="903"/>
      <c r="C576" s="903"/>
      <c r="D576" s="903"/>
      <c r="E576" s="903"/>
      <c r="R576" s="904"/>
      <c r="S576" s="904"/>
      <c r="T576" s="904"/>
      <c r="U576" s="904"/>
      <c r="V576" s="904"/>
      <c r="W576" s="904"/>
      <c r="X576" s="904"/>
      <c r="Y576" s="904"/>
    </row>
    <row r="577" spans="1:25" x14ac:dyDescent="0.2">
      <c r="A577" s="903"/>
      <c r="B577" s="903"/>
      <c r="C577" s="903"/>
      <c r="D577" s="903"/>
      <c r="E577" s="903"/>
      <c r="R577" s="904"/>
      <c r="S577" s="904"/>
      <c r="T577" s="904"/>
      <c r="U577" s="904"/>
      <c r="V577" s="904"/>
      <c r="W577" s="904"/>
      <c r="X577" s="904"/>
      <c r="Y577" s="904"/>
    </row>
    <row r="578" spans="1:25" x14ac:dyDescent="0.2">
      <c r="A578" s="903"/>
      <c r="B578" s="903"/>
      <c r="C578" s="903"/>
      <c r="D578" s="903"/>
      <c r="E578" s="903"/>
      <c r="R578" s="904"/>
      <c r="S578" s="904"/>
      <c r="T578" s="904"/>
      <c r="U578" s="904"/>
      <c r="V578" s="904"/>
      <c r="W578" s="904"/>
      <c r="X578" s="904"/>
      <c r="Y578" s="904"/>
    </row>
    <row r="579" spans="1:25" x14ac:dyDescent="0.2">
      <c r="A579" s="903"/>
      <c r="B579" s="903"/>
      <c r="C579" s="903"/>
      <c r="D579" s="903"/>
      <c r="E579" s="903"/>
      <c r="R579" s="904"/>
      <c r="S579" s="904"/>
      <c r="T579" s="904"/>
      <c r="U579" s="904"/>
      <c r="V579" s="904"/>
      <c r="W579" s="904"/>
      <c r="X579" s="904"/>
      <c r="Y579" s="904"/>
    </row>
    <row r="580" spans="1:25" x14ac:dyDescent="0.2">
      <c r="A580" s="903"/>
      <c r="B580" s="903"/>
      <c r="C580" s="903"/>
      <c r="D580" s="903"/>
      <c r="E580" s="903"/>
      <c r="R580" s="904"/>
      <c r="S580" s="904"/>
      <c r="T580" s="904"/>
      <c r="U580" s="904"/>
      <c r="V580" s="904"/>
      <c r="W580" s="904"/>
      <c r="X580" s="904"/>
      <c r="Y580" s="904"/>
    </row>
    <row r="581" spans="1:25" x14ac:dyDescent="0.2">
      <c r="A581" s="903"/>
      <c r="B581" s="903"/>
      <c r="C581" s="903"/>
      <c r="D581" s="903"/>
      <c r="E581" s="903"/>
      <c r="R581" s="904"/>
      <c r="S581" s="904"/>
      <c r="T581" s="904"/>
      <c r="U581" s="904"/>
      <c r="V581" s="904"/>
      <c r="W581" s="904"/>
      <c r="X581" s="904"/>
      <c r="Y581" s="904"/>
    </row>
    <row r="582" spans="1:25" x14ac:dyDescent="0.2">
      <c r="A582" s="903"/>
      <c r="B582" s="903"/>
      <c r="C582" s="903"/>
      <c r="D582" s="903"/>
      <c r="E582" s="903"/>
      <c r="R582" s="904"/>
      <c r="S582" s="904"/>
      <c r="T582" s="904"/>
      <c r="U582" s="904"/>
      <c r="V582" s="904"/>
      <c r="W582" s="904"/>
      <c r="X582" s="904"/>
      <c r="Y582" s="904"/>
    </row>
    <row r="583" spans="1:25" x14ac:dyDescent="0.2">
      <c r="A583" s="903"/>
      <c r="B583" s="903"/>
      <c r="C583" s="903"/>
      <c r="D583" s="903"/>
      <c r="E583" s="903"/>
      <c r="R583" s="904"/>
      <c r="S583" s="904"/>
      <c r="T583" s="904"/>
      <c r="U583" s="904"/>
      <c r="V583" s="904"/>
      <c r="W583" s="904"/>
      <c r="X583" s="904"/>
      <c r="Y583" s="904"/>
    </row>
    <row r="584" spans="1:25" x14ac:dyDescent="0.2">
      <c r="A584" s="903"/>
      <c r="B584" s="903"/>
      <c r="C584" s="903"/>
      <c r="D584" s="903"/>
      <c r="E584" s="903"/>
      <c r="R584" s="904"/>
      <c r="S584" s="904"/>
      <c r="T584" s="904"/>
      <c r="U584" s="904"/>
      <c r="V584" s="904"/>
      <c r="W584" s="904"/>
      <c r="X584" s="904"/>
      <c r="Y584" s="904"/>
    </row>
    <row r="585" spans="1:25" x14ac:dyDescent="0.2">
      <c r="A585" s="903"/>
      <c r="B585" s="903"/>
      <c r="C585" s="903"/>
      <c r="D585" s="903"/>
      <c r="E585" s="903"/>
      <c r="R585" s="904"/>
      <c r="S585" s="904"/>
      <c r="T585" s="904"/>
      <c r="U585" s="904"/>
      <c r="V585" s="904"/>
      <c r="W585" s="904"/>
      <c r="X585" s="904"/>
      <c r="Y585" s="904"/>
    </row>
    <row r="586" spans="1:25" x14ac:dyDescent="0.2">
      <c r="A586" s="903"/>
      <c r="B586" s="903"/>
      <c r="C586" s="903"/>
      <c r="D586" s="903"/>
      <c r="E586" s="903"/>
      <c r="R586" s="904"/>
      <c r="S586" s="904"/>
      <c r="T586" s="904"/>
      <c r="U586" s="904"/>
      <c r="V586" s="904"/>
      <c r="W586" s="904"/>
      <c r="X586" s="904"/>
      <c r="Y586" s="904"/>
    </row>
    <row r="587" spans="1:25" x14ac:dyDescent="0.2">
      <c r="A587" s="903"/>
      <c r="B587" s="903"/>
      <c r="C587" s="903"/>
      <c r="D587" s="903"/>
      <c r="E587" s="903"/>
      <c r="R587" s="904"/>
      <c r="S587" s="904"/>
      <c r="T587" s="904"/>
      <c r="U587" s="904"/>
      <c r="V587" s="904"/>
      <c r="W587" s="904"/>
      <c r="X587" s="904"/>
      <c r="Y587" s="904"/>
    </row>
    <row r="588" spans="1:25" x14ac:dyDescent="0.2">
      <c r="A588" s="903"/>
      <c r="B588" s="903"/>
      <c r="C588" s="903"/>
      <c r="D588" s="903"/>
      <c r="E588" s="903"/>
      <c r="R588" s="904"/>
      <c r="S588" s="904"/>
      <c r="T588" s="904"/>
      <c r="U588" s="904"/>
      <c r="V588" s="904"/>
      <c r="W588" s="904"/>
      <c r="X588" s="904"/>
      <c r="Y588" s="904"/>
    </row>
    <row r="589" spans="1:25" x14ac:dyDescent="0.2">
      <c r="A589" s="903"/>
      <c r="B589" s="903"/>
      <c r="C589" s="903"/>
      <c r="D589" s="903"/>
      <c r="E589" s="903"/>
      <c r="R589" s="904"/>
      <c r="S589" s="904"/>
      <c r="T589" s="904"/>
      <c r="U589" s="904"/>
      <c r="V589" s="904"/>
      <c r="W589" s="904"/>
      <c r="X589" s="904"/>
      <c r="Y589" s="904"/>
    </row>
    <row r="590" spans="1:25" x14ac:dyDescent="0.2">
      <c r="A590" s="903"/>
      <c r="B590" s="903"/>
      <c r="C590" s="903"/>
      <c r="D590" s="903"/>
      <c r="E590" s="903"/>
      <c r="R590" s="904"/>
      <c r="S590" s="904"/>
      <c r="T590" s="904"/>
      <c r="U590" s="904"/>
      <c r="V590" s="904"/>
      <c r="W590" s="904"/>
      <c r="X590" s="904"/>
      <c r="Y590" s="904"/>
    </row>
    <row r="591" spans="1:25" x14ac:dyDescent="0.2">
      <c r="A591" s="903"/>
      <c r="B591" s="903"/>
      <c r="C591" s="903"/>
      <c r="D591" s="903"/>
      <c r="E591" s="903"/>
      <c r="R591" s="904"/>
      <c r="S591" s="904"/>
      <c r="T591" s="904"/>
      <c r="U591" s="904"/>
      <c r="V591" s="904"/>
      <c r="W591" s="904"/>
      <c r="X591" s="904"/>
      <c r="Y591" s="904"/>
    </row>
    <row r="592" spans="1:25" x14ac:dyDescent="0.2">
      <c r="A592" s="903"/>
      <c r="B592" s="903"/>
      <c r="C592" s="903"/>
      <c r="D592" s="903"/>
      <c r="E592" s="903"/>
      <c r="R592" s="904"/>
      <c r="S592" s="904"/>
      <c r="T592" s="904"/>
      <c r="U592" s="904"/>
      <c r="V592" s="904"/>
      <c r="W592" s="904"/>
      <c r="X592" s="904"/>
      <c r="Y592" s="904"/>
    </row>
    <row r="593" spans="1:25" x14ac:dyDescent="0.2">
      <c r="A593" s="903"/>
      <c r="B593" s="903"/>
      <c r="C593" s="903"/>
      <c r="D593" s="903"/>
      <c r="E593" s="903"/>
      <c r="R593" s="904"/>
      <c r="S593" s="904"/>
      <c r="T593" s="904"/>
      <c r="U593" s="904"/>
      <c r="V593" s="904"/>
      <c r="W593" s="904"/>
      <c r="X593" s="904"/>
      <c r="Y593" s="904"/>
    </row>
    <row r="594" spans="1:25" x14ac:dyDescent="0.2">
      <c r="A594" s="903"/>
      <c r="B594" s="903"/>
      <c r="C594" s="903"/>
      <c r="D594" s="903"/>
      <c r="E594" s="903"/>
      <c r="R594" s="904"/>
      <c r="S594" s="904"/>
      <c r="T594" s="904"/>
      <c r="U594" s="904"/>
      <c r="V594" s="904"/>
      <c r="W594" s="904"/>
      <c r="X594" s="904"/>
      <c r="Y594" s="904"/>
    </row>
    <row r="595" spans="1:25" x14ac:dyDescent="0.2">
      <c r="A595" s="903"/>
      <c r="B595" s="903"/>
      <c r="C595" s="903"/>
      <c r="D595" s="903"/>
      <c r="E595" s="903"/>
      <c r="R595" s="904"/>
      <c r="S595" s="904"/>
      <c r="T595" s="904"/>
      <c r="U595" s="904"/>
      <c r="V595" s="904"/>
      <c r="W595" s="904"/>
      <c r="X595" s="904"/>
      <c r="Y595" s="904"/>
    </row>
    <row r="596" spans="1:25" x14ac:dyDescent="0.2">
      <c r="A596" s="903"/>
      <c r="B596" s="903"/>
      <c r="C596" s="903"/>
      <c r="D596" s="903"/>
      <c r="E596" s="903"/>
      <c r="R596" s="904"/>
      <c r="S596" s="904"/>
      <c r="T596" s="904"/>
      <c r="U596" s="904"/>
      <c r="V596" s="904"/>
      <c r="W596" s="904"/>
      <c r="X596" s="904"/>
      <c r="Y596" s="904"/>
    </row>
    <row r="597" spans="1:25" x14ac:dyDescent="0.2">
      <c r="A597" s="903"/>
      <c r="B597" s="903"/>
      <c r="C597" s="903"/>
      <c r="D597" s="903"/>
      <c r="E597" s="903"/>
      <c r="R597" s="904"/>
      <c r="S597" s="904"/>
      <c r="T597" s="904"/>
      <c r="U597" s="904"/>
      <c r="V597" s="904"/>
      <c r="W597" s="904"/>
      <c r="X597" s="904"/>
      <c r="Y597" s="904"/>
    </row>
    <row r="598" spans="1:25" x14ac:dyDescent="0.2">
      <c r="A598" s="903"/>
      <c r="B598" s="903"/>
      <c r="C598" s="903"/>
      <c r="D598" s="903"/>
      <c r="E598" s="903"/>
      <c r="R598" s="904"/>
      <c r="S598" s="904"/>
      <c r="T598" s="904"/>
      <c r="U598" s="904"/>
      <c r="V598" s="904"/>
      <c r="W598" s="904"/>
      <c r="X598" s="904"/>
      <c r="Y598" s="904"/>
    </row>
    <row r="599" spans="1:25" x14ac:dyDescent="0.2">
      <c r="A599" s="903"/>
      <c r="B599" s="903"/>
      <c r="C599" s="903"/>
      <c r="D599" s="903"/>
      <c r="E599" s="903"/>
      <c r="R599" s="904"/>
      <c r="S599" s="904"/>
      <c r="T599" s="904"/>
      <c r="U599" s="904"/>
      <c r="V599" s="904"/>
      <c r="W599" s="904"/>
      <c r="X599" s="904"/>
      <c r="Y599" s="904"/>
    </row>
    <row r="600" spans="1:25" x14ac:dyDescent="0.2">
      <c r="A600" s="903"/>
      <c r="B600" s="903"/>
      <c r="C600" s="903"/>
      <c r="D600" s="903"/>
      <c r="E600" s="903"/>
      <c r="R600" s="904"/>
      <c r="S600" s="904"/>
      <c r="T600" s="904"/>
      <c r="U600" s="904"/>
      <c r="V600" s="904"/>
      <c r="W600" s="904"/>
      <c r="X600" s="904"/>
      <c r="Y600" s="904"/>
    </row>
    <row r="601" spans="1:25" x14ac:dyDescent="0.2">
      <c r="A601" s="903"/>
      <c r="B601" s="903"/>
      <c r="C601" s="903"/>
      <c r="D601" s="903"/>
      <c r="E601" s="903"/>
      <c r="R601" s="904"/>
      <c r="S601" s="904"/>
      <c r="T601" s="904"/>
      <c r="U601" s="904"/>
      <c r="V601" s="904"/>
      <c r="W601" s="904"/>
      <c r="X601" s="904"/>
      <c r="Y601" s="904"/>
    </row>
    <row r="602" spans="1:25" x14ac:dyDescent="0.2">
      <c r="A602" s="903"/>
      <c r="B602" s="903"/>
      <c r="C602" s="903"/>
      <c r="D602" s="903"/>
      <c r="E602" s="903"/>
      <c r="R602" s="904"/>
      <c r="S602" s="904"/>
      <c r="T602" s="904"/>
      <c r="U602" s="904"/>
      <c r="V602" s="904"/>
      <c r="W602" s="904"/>
      <c r="X602" s="904"/>
      <c r="Y602" s="904"/>
    </row>
    <row r="603" spans="1:25" x14ac:dyDescent="0.2">
      <c r="A603" s="903"/>
      <c r="B603" s="903"/>
      <c r="C603" s="903"/>
      <c r="D603" s="903"/>
      <c r="E603" s="903"/>
      <c r="R603" s="904"/>
      <c r="S603" s="904"/>
      <c r="T603" s="904"/>
      <c r="U603" s="904"/>
      <c r="V603" s="904"/>
      <c r="W603" s="904"/>
      <c r="X603" s="904"/>
      <c r="Y603" s="904"/>
    </row>
    <row r="604" spans="1:25" x14ac:dyDescent="0.2">
      <c r="A604" s="903"/>
      <c r="B604" s="903"/>
      <c r="C604" s="903"/>
      <c r="D604" s="903"/>
      <c r="E604" s="903"/>
      <c r="R604" s="904"/>
      <c r="S604" s="904"/>
      <c r="T604" s="904"/>
      <c r="U604" s="904"/>
      <c r="V604" s="904"/>
      <c r="W604" s="904"/>
      <c r="X604" s="904"/>
      <c r="Y604" s="904"/>
    </row>
    <row r="605" spans="1:25" x14ac:dyDescent="0.2">
      <c r="A605" s="903"/>
      <c r="B605" s="903"/>
      <c r="C605" s="903"/>
      <c r="D605" s="903"/>
      <c r="E605" s="903"/>
      <c r="R605" s="904"/>
      <c r="S605" s="904"/>
      <c r="T605" s="904"/>
      <c r="U605" s="904"/>
      <c r="V605" s="904"/>
      <c r="W605" s="904"/>
      <c r="X605" s="904"/>
      <c r="Y605" s="904"/>
    </row>
    <row r="606" spans="1:25" x14ac:dyDescent="0.2">
      <c r="A606" s="903"/>
      <c r="B606" s="903"/>
      <c r="C606" s="903"/>
      <c r="D606" s="903"/>
      <c r="E606" s="903"/>
      <c r="R606" s="904"/>
      <c r="S606" s="904"/>
      <c r="T606" s="904"/>
      <c r="U606" s="904"/>
      <c r="V606" s="904"/>
      <c r="W606" s="904"/>
      <c r="X606" s="904"/>
      <c r="Y606" s="904"/>
    </row>
    <row r="607" spans="1:25" x14ac:dyDescent="0.2">
      <c r="A607" s="903"/>
      <c r="B607" s="903"/>
      <c r="C607" s="903"/>
      <c r="D607" s="903"/>
      <c r="E607" s="903"/>
      <c r="R607" s="904"/>
      <c r="S607" s="904"/>
      <c r="T607" s="904"/>
      <c r="U607" s="904"/>
      <c r="V607" s="904"/>
      <c r="W607" s="904"/>
      <c r="X607" s="904"/>
      <c r="Y607" s="904"/>
    </row>
    <row r="608" spans="1:25" x14ac:dyDescent="0.2">
      <c r="A608" s="903"/>
      <c r="B608" s="903"/>
      <c r="C608" s="903"/>
      <c r="D608" s="903"/>
      <c r="E608" s="903"/>
      <c r="R608" s="904"/>
      <c r="S608" s="904"/>
      <c r="T608" s="904"/>
      <c r="U608" s="904"/>
      <c r="V608" s="904"/>
      <c r="W608" s="904"/>
      <c r="X608" s="904"/>
      <c r="Y608" s="904"/>
    </row>
    <row r="609" spans="1:25" x14ac:dyDescent="0.2">
      <c r="A609" s="903"/>
      <c r="B609" s="903"/>
      <c r="C609" s="903"/>
      <c r="D609" s="903"/>
      <c r="E609" s="903"/>
      <c r="R609" s="904"/>
      <c r="S609" s="904"/>
      <c r="T609" s="904"/>
      <c r="U609" s="904"/>
      <c r="V609" s="904"/>
      <c r="W609" s="904"/>
      <c r="X609" s="904"/>
      <c r="Y609" s="904"/>
    </row>
    <row r="610" spans="1:25" x14ac:dyDescent="0.2">
      <c r="A610" s="903"/>
      <c r="B610" s="903"/>
      <c r="C610" s="903"/>
      <c r="D610" s="903"/>
      <c r="E610" s="903"/>
      <c r="R610" s="904"/>
      <c r="S610" s="904"/>
      <c r="T610" s="904"/>
      <c r="U610" s="904"/>
      <c r="V610" s="904"/>
      <c r="W610" s="904"/>
      <c r="X610" s="904"/>
      <c r="Y610" s="904"/>
    </row>
    <row r="611" spans="1:25" x14ac:dyDescent="0.2">
      <c r="A611" s="903"/>
      <c r="B611" s="903"/>
      <c r="C611" s="903"/>
      <c r="D611" s="903"/>
      <c r="E611" s="903"/>
      <c r="R611" s="904"/>
      <c r="S611" s="904"/>
      <c r="T611" s="904"/>
      <c r="U611" s="904"/>
      <c r="V611" s="904"/>
      <c r="W611" s="904"/>
      <c r="X611" s="904"/>
      <c r="Y611" s="904"/>
    </row>
    <row r="612" spans="1:25" x14ac:dyDescent="0.2">
      <c r="A612" s="903"/>
      <c r="B612" s="903"/>
      <c r="C612" s="903"/>
      <c r="D612" s="903"/>
      <c r="E612" s="903"/>
      <c r="R612" s="904"/>
      <c r="S612" s="904"/>
      <c r="T612" s="904"/>
      <c r="U612" s="904"/>
      <c r="V612" s="904"/>
      <c r="W612" s="904"/>
      <c r="X612" s="904"/>
      <c r="Y612" s="904"/>
    </row>
    <row r="613" spans="1:25" x14ac:dyDescent="0.2">
      <c r="A613" s="903"/>
      <c r="B613" s="903"/>
      <c r="C613" s="903"/>
      <c r="D613" s="903"/>
      <c r="E613" s="903"/>
      <c r="R613" s="904"/>
      <c r="S613" s="904"/>
      <c r="T613" s="904"/>
      <c r="U613" s="904"/>
      <c r="V613" s="904"/>
      <c r="W613" s="904"/>
      <c r="X613" s="904"/>
      <c r="Y613" s="904"/>
    </row>
    <row r="614" spans="1:25" x14ac:dyDescent="0.2">
      <c r="A614" s="903"/>
      <c r="B614" s="903"/>
      <c r="C614" s="903"/>
      <c r="D614" s="903"/>
      <c r="E614" s="903"/>
      <c r="R614" s="904"/>
      <c r="S614" s="904"/>
      <c r="T614" s="904"/>
      <c r="U614" s="904"/>
      <c r="V614" s="904"/>
      <c r="W614" s="904"/>
      <c r="X614" s="904"/>
      <c r="Y614" s="904"/>
    </row>
    <row r="615" spans="1:25" x14ac:dyDescent="0.2">
      <c r="A615" s="903"/>
      <c r="B615" s="903"/>
      <c r="C615" s="903"/>
      <c r="D615" s="903"/>
      <c r="E615" s="903"/>
      <c r="R615" s="904"/>
      <c r="S615" s="904"/>
      <c r="T615" s="904"/>
      <c r="U615" s="904"/>
      <c r="V615" s="904"/>
      <c r="W615" s="904"/>
      <c r="X615" s="904"/>
      <c r="Y615" s="904"/>
    </row>
    <row r="616" spans="1:25" x14ac:dyDescent="0.2">
      <c r="A616" s="903"/>
      <c r="B616" s="903"/>
      <c r="C616" s="903"/>
      <c r="D616" s="903"/>
      <c r="E616" s="903"/>
      <c r="R616" s="904"/>
      <c r="S616" s="904"/>
      <c r="T616" s="904"/>
      <c r="U616" s="904"/>
      <c r="V616" s="904"/>
      <c r="W616" s="904"/>
      <c r="X616" s="904"/>
      <c r="Y616" s="904"/>
    </row>
    <row r="617" spans="1:25" x14ac:dyDescent="0.2">
      <c r="A617" s="903"/>
      <c r="B617" s="903"/>
      <c r="C617" s="903"/>
      <c r="D617" s="903"/>
      <c r="E617" s="903"/>
      <c r="R617" s="904"/>
      <c r="S617" s="904"/>
      <c r="T617" s="904"/>
      <c r="U617" s="904"/>
      <c r="V617" s="904"/>
      <c r="W617" s="904"/>
      <c r="X617" s="904"/>
      <c r="Y617" s="904"/>
    </row>
    <row r="618" spans="1:25" x14ac:dyDescent="0.2">
      <c r="A618" s="903"/>
      <c r="B618" s="903"/>
      <c r="C618" s="903"/>
      <c r="D618" s="903"/>
      <c r="E618" s="903"/>
      <c r="R618" s="904"/>
      <c r="S618" s="904"/>
      <c r="T618" s="904"/>
      <c r="U618" s="904"/>
      <c r="V618" s="904"/>
      <c r="W618" s="904"/>
      <c r="X618" s="904"/>
      <c r="Y618" s="904"/>
    </row>
    <row r="619" spans="1:25" x14ac:dyDescent="0.2">
      <c r="A619" s="903"/>
      <c r="B619" s="903"/>
      <c r="C619" s="903"/>
      <c r="D619" s="903"/>
      <c r="E619" s="903"/>
      <c r="R619" s="904"/>
      <c r="S619" s="904"/>
      <c r="T619" s="904"/>
      <c r="U619" s="904"/>
      <c r="V619" s="904"/>
      <c r="W619" s="904"/>
      <c r="X619" s="904"/>
      <c r="Y619" s="904"/>
    </row>
    <row r="620" spans="1:25" x14ac:dyDescent="0.2">
      <c r="A620" s="903"/>
      <c r="B620" s="903"/>
      <c r="C620" s="903"/>
      <c r="D620" s="903"/>
      <c r="E620" s="903"/>
      <c r="R620" s="904"/>
      <c r="S620" s="904"/>
      <c r="T620" s="904"/>
      <c r="U620" s="904"/>
      <c r="V620" s="904"/>
      <c r="W620" s="904"/>
      <c r="X620" s="904"/>
      <c r="Y620" s="904"/>
    </row>
    <row r="621" spans="1:25" x14ac:dyDescent="0.2">
      <c r="A621" s="903"/>
      <c r="B621" s="903"/>
      <c r="C621" s="903"/>
      <c r="D621" s="903"/>
      <c r="E621" s="903"/>
      <c r="R621" s="904"/>
      <c r="S621" s="904"/>
      <c r="T621" s="904"/>
      <c r="U621" s="904"/>
      <c r="V621" s="904"/>
      <c r="W621" s="904"/>
      <c r="X621" s="904"/>
      <c r="Y621" s="904"/>
    </row>
    <row r="622" spans="1:25" x14ac:dyDescent="0.2">
      <c r="A622" s="903"/>
      <c r="B622" s="903"/>
      <c r="C622" s="903"/>
      <c r="D622" s="903"/>
      <c r="E622" s="903"/>
      <c r="R622" s="904"/>
      <c r="S622" s="904"/>
      <c r="T622" s="904"/>
      <c r="U622" s="904"/>
      <c r="V622" s="904"/>
      <c r="W622" s="904"/>
      <c r="X622" s="904"/>
      <c r="Y622" s="904"/>
    </row>
    <row r="623" spans="1:25" x14ac:dyDescent="0.2">
      <c r="A623" s="903"/>
      <c r="B623" s="903"/>
      <c r="C623" s="903"/>
      <c r="D623" s="903"/>
      <c r="E623" s="903"/>
      <c r="R623" s="904"/>
      <c r="S623" s="904"/>
      <c r="T623" s="904"/>
      <c r="U623" s="904"/>
      <c r="V623" s="904"/>
      <c r="W623" s="904"/>
      <c r="X623" s="904"/>
      <c r="Y623" s="904"/>
    </row>
    <row r="624" spans="1:25" x14ac:dyDescent="0.2">
      <c r="A624" s="903"/>
      <c r="B624" s="903"/>
      <c r="C624" s="903"/>
      <c r="D624" s="903"/>
      <c r="E624" s="903"/>
      <c r="R624" s="904"/>
      <c r="S624" s="904"/>
      <c r="T624" s="904"/>
      <c r="U624" s="904"/>
      <c r="V624" s="904"/>
      <c r="W624" s="904"/>
      <c r="X624" s="904"/>
      <c r="Y624" s="904"/>
    </row>
    <row r="625" spans="1:25" x14ac:dyDescent="0.2">
      <c r="A625" s="903"/>
      <c r="B625" s="903"/>
      <c r="C625" s="903"/>
      <c r="D625" s="903"/>
      <c r="E625" s="903"/>
      <c r="R625" s="904"/>
      <c r="S625" s="904"/>
      <c r="T625" s="904"/>
      <c r="U625" s="904"/>
      <c r="V625" s="904"/>
      <c r="W625" s="904"/>
      <c r="X625" s="904"/>
      <c r="Y625" s="904"/>
    </row>
    <row r="626" spans="1:25" x14ac:dyDescent="0.2">
      <c r="A626" s="903"/>
      <c r="B626" s="903"/>
      <c r="C626" s="903"/>
      <c r="D626" s="903"/>
      <c r="E626" s="903"/>
      <c r="R626" s="904"/>
      <c r="S626" s="904"/>
      <c r="T626" s="904"/>
      <c r="U626" s="904"/>
      <c r="V626" s="904"/>
      <c r="W626" s="904"/>
      <c r="X626" s="904"/>
      <c r="Y626" s="904"/>
    </row>
    <row r="627" spans="1:25" x14ac:dyDescent="0.2">
      <c r="A627" s="903"/>
      <c r="B627" s="903"/>
      <c r="C627" s="903"/>
      <c r="D627" s="903"/>
      <c r="E627" s="903"/>
      <c r="R627" s="904"/>
      <c r="S627" s="904"/>
      <c r="T627" s="904"/>
      <c r="U627" s="904"/>
      <c r="V627" s="904"/>
      <c r="W627" s="904"/>
      <c r="X627" s="904"/>
      <c r="Y627" s="904"/>
    </row>
    <row r="628" spans="1:25" x14ac:dyDescent="0.2">
      <c r="A628" s="903"/>
      <c r="B628" s="903"/>
      <c r="C628" s="903"/>
      <c r="D628" s="903"/>
      <c r="E628" s="903"/>
      <c r="R628" s="904"/>
      <c r="S628" s="904"/>
      <c r="T628" s="904"/>
      <c r="U628" s="904"/>
      <c r="V628" s="904"/>
      <c r="W628" s="904"/>
      <c r="X628" s="904"/>
      <c r="Y628" s="904"/>
    </row>
    <row r="629" spans="1:25" x14ac:dyDescent="0.2">
      <c r="A629" s="903"/>
      <c r="B629" s="903"/>
      <c r="C629" s="903"/>
      <c r="D629" s="903"/>
      <c r="E629" s="903"/>
      <c r="R629" s="904"/>
      <c r="S629" s="904"/>
      <c r="T629" s="904"/>
      <c r="U629" s="904"/>
      <c r="V629" s="904"/>
      <c r="W629" s="904"/>
      <c r="X629" s="904"/>
      <c r="Y629" s="904"/>
    </row>
    <row r="630" spans="1:25" x14ac:dyDescent="0.2">
      <c r="A630" s="903"/>
      <c r="B630" s="903"/>
      <c r="C630" s="903"/>
      <c r="D630" s="903"/>
      <c r="E630" s="903"/>
      <c r="R630" s="904"/>
      <c r="S630" s="904"/>
      <c r="T630" s="904"/>
      <c r="U630" s="904"/>
      <c r="V630" s="904"/>
      <c r="W630" s="904"/>
      <c r="X630" s="904"/>
      <c r="Y630" s="904"/>
    </row>
    <row r="631" spans="1:25" x14ac:dyDescent="0.2">
      <c r="A631" s="903"/>
      <c r="B631" s="903"/>
      <c r="C631" s="903"/>
      <c r="D631" s="903"/>
      <c r="E631" s="903"/>
      <c r="R631" s="904"/>
      <c r="S631" s="904"/>
      <c r="T631" s="904"/>
      <c r="U631" s="904"/>
      <c r="V631" s="904"/>
      <c r="W631" s="904"/>
      <c r="X631" s="904"/>
      <c r="Y631" s="904"/>
    </row>
    <row r="632" spans="1:25" x14ac:dyDescent="0.2">
      <c r="A632" s="903"/>
      <c r="B632" s="903"/>
      <c r="C632" s="903"/>
      <c r="D632" s="903"/>
      <c r="E632" s="903"/>
      <c r="R632" s="904"/>
      <c r="S632" s="904"/>
      <c r="T632" s="904"/>
      <c r="U632" s="904"/>
      <c r="V632" s="904"/>
      <c r="W632" s="904"/>
      <c r="X632" s="904"/>
      <c r="Y632" s="904"/>
    </row>
    <row r="633" spans="1:25" x14ac:dyDescent="0.2">
      <c r="A633" s="903"/>
      <c r="B633" s="903"/>
      <c r="C633" s="903"/>
      <c r="D633" s="903"/>
      <c r="E633" s="903"/>
      <c r="R633" s="904"/>
      <c r="S633" s="904"/>
      <c r="T633" s="904"/>
      <c r="U633" s="904"/>
      <c r="V633" s="904"/>
      <c r="W633" s="904"/>
      <c r="X633" s="904"/>
      <c r="Y633" s="904"/>
    </row>
    <row r="634" spans="1:25" x14ac:dyDescent="0.2">
      <c r="A634" s="903"/>
      <c r="B634" s="903"/>
      <c r="C634" s="903"/>
      <c r="D634" s="903"/>
      <c r="E634" s="903"/>
      <c r="R634" s="904"/>
      <c r="S634" s="904"/>
      <c r="T634" s="904"/>
      <c r="U634" s="904"/>
      <c r="V634" s="904"/>
      <c r="W634" s="904"/>
      <c r="X634" s="904"/>
      <c r="Y634" s="904"/>
    </row>
    <row r="635" spans="1:25" x14ac:dyDescent="0.2">
      <c r="A635" s="903"/>
      <c r="B635" s="903"/>
      <c r="C635" s="903"/>
      <c r="D635" s="903"/>
      <c r="E635" s="903"/>
      <c r="R635" s="904"/>
      <c r="S635" s="904"/>
      <c r="T635" s="904"/>
      <c r="U635" s="904"/>
      <c r="V635" s="904"/>
      <c r="W635" s="904"/>
      <c r="X635" s="904"/>
      <c r="Y635" s="904"/>
    </row>
    <row r="636" spans="1:25" x14ac:dyDescent="0.2">
      <c r="A636" s="903"/>
      <c r="B636" s="903"/>
      <c r="C636" s="903"/>
      <c r="D636" s="903"/>
      <c r="E636" s="903"/>
      <c r="R636" s="904"/>
      <c r="S636" s="904"/>
      <c r="T636" s="904"/>
      <c r="U636" s="904"/>
      <c r="V636" s="904"/>
      <c r="W636" s="904"/>
      <c r="X636" s="904"/>
      <c r="Y636" s="904"/>
    </row>
    <row r="637" spans="1:25" x14ac:dyDescent="0.2">
      <c r="A637" s="903"/>
      <c r="B637" s="903"/>
      <c r="C637" s="903"/>
      <c r="D637" s="903"/>
      <c r="E637" s="903"/>
      <c r="R637" s="904"/>
      <c r="S637" s="904"/>
      <c r="T637" s="904"/>
      <c r="U637" s="904"/>
      <c r="V637" s="904"/>
      <c r="W637" s="904"/>
      <c r="X637" s="904"/>
      <c r="Y637" s="904"/>
    </row>
    <row r="638" spans="1:25" x14ac:dyDescent="0.2">
      <c r="A638" s="903"/>
      <c r="B638" s="903"/>
      <c r="C638" s="903"/>
      <c r="D638" s="903"/>
      <c r="E638" s="903"/>
      <c r="R638" s="904"/>
      <c r="S638" s="904"/>
      <c r="T638" s="904"/>
      <c r="U638" s="904"/>
      <c r="V638" s="904"/>
      <c r="W638" s="904"/>
      <c r="X638" s="904"/>
      <c r="Y638" s="904"/>
    </row>
    <row r="639" spans="1:25" x14ac:dyDescent="0.2">
      <c r="A639" s="903"/>
      <c r="B639" s="903"/>
      <c r="C639" s="903"/>
      <c r="D639" s="903"/>
      <c r="E639" s="903"/>
      <c r="R639" s="904"/>
      <c r="S639" s="904"/>
      <c r="T639" s="904"/>
      <c r="U639" s="904"/>
      <c r="V639" s="904"/>
      <c r="W639" s="904"/>
      <c r="X639" s="904"/>
      <c r="Y639" s="904"/>
    </row>
    <row r="640" spans="1:25" x14ac:dyDescent="0.2">
      <c r="A640" s="903"/>
      <c r="B640" s="903"/>
      <c r="C640" s="903"/>
      <c r="D640" s="903"/>
      <c r="E640" s="903"/>
      <c r="R640" s="904"/>
      <c r="S640" s="904"/>
      <c r="T640" s="904"/>
      <c r="U640" s="904"/>
      <c r="V640" s="904"/>
      <c r="W640" s="904"/>
      <c r="X640" s="904"/>
      <c r="Y640" s="904"/>
    </row>
    <row r="641" spans="1:25" x14ac:dyDescent="0.2">
      <c r="A641" s="903"/>
      <c r="B641" s="903"/>
      <c r="C641" s="903"/>
      <c r="D641" s="903"/>
      <c r="E641" s="903"/>
      <c r="R641" s="904"/>
      <c r="S641" s="904"/>
      <c r="T641" s="904"/>
      <c r="U641" s="904"/>
      <c r="V641" s="904"/>
      <c r="W641" s="904"/>
      <c r="X641" s="904"/>
      <c r="Y641" s="904"/>
    </row>
    <row r="642" spans="1:25" x14ac:dyDescent="0.2">
      <c r="A642" s="903"/>
      <c r="B642" s="903"/>
      <c r="C642" s="903"/>
      <c r="D642" s="903"/>
      <c r="E642" s="903"/>
      <c r="R642" s="904"/>
      <c r="S642" s="904"/>
      <c r="T642" s="904"/>
      <c r="U642" s="904"/>
      <c r="V642" s="904"/>
      <c r="W642" s="904"/>
      <c r="X642" s="904"/>
      <c r="Y642" s="904"/>
    </row>
    <row r="643" spans="1:25" x14ac:dyDescent="0.2">
      <c r="A643" s="903"/>
      <c r="B643" s="903"/>
      <c r="C643" s="903"/>
      <c r="D643" s="903"/>
      <c r="E643" s="903"/>
      <c r="R643" s="904"/>
      <c r="S643" s="904"/>
      <c r="T643" s="904"/>
      <c r="U643" s="904"/>
      <c r="V643" s="904"/>
      <c r="W643" s="904"/>
      <c r="X643" s="904"/>
      <c r="Y643" s="904"/>
    </row>
    <row r="644" spans="1:25" x14ac:dyDescent="0.2">
      <c r="A644" s="903"/>
      <c r="B644" s="903"/>
      <c r="C644" s="903"/>
      <c r="D644" s="903"/>
      <c r="E644" s="903"/>
      <c r="R644" s="904"/>
      <c r="S644" s="904"/>
      <c r="T644" s="904"/>
      <c r="U644" s="904"/>
      <c r="V644" s="904"/>
      <c r="W644" s="904"/>
      <c r="X644" s="904"/>
      <c r="Y644" s="904"/>
    </row>
    <row r="645" spans="1:25" x14ac:dyDescent="0.2">
      <c r="A645" s="903"/>
      <c r="B645" s="903"/>
      <c r="C645" s="903"/>
      <c r="D645" s="903"/>
      <c r="E645" s="903"/>
      <c r="R645" s="904"/>
      <c r="S645" s="904"/>
      <c r="T645" s="904"/>
      <c r="U645" s="904"/>
      <c r="V645" s="904"/>
      <c r="W645" s="904"/>
      <c r="X645" s="904"/>
      <c r="Y645" s="904"/>
    </row>
    <row r="646" spans="1:25" x14ac:dyDescent="0.2">
      <c r="A646" s="903"/>
      <c r="B646" s="903"/>
      <c r="C646" s="903"/>
      <c r="D646" s="903"/>
      <c r="E646" s="903"/>
      <c r="R646" s="904"/>
      <c r="S646" s="904"/>
      <c r="T646" s="904"/>
      <c r="U646" s="904"/>
      <c r="V646" s="904"/>
      <c r="W646" s="904"/>
      <c r="X646" s="904"/>
      <c r="Y646" s="904"/>
    </row>
    <row r="647" spans="1:25" x14ac:dyDescent="0.2">
      <c r="A647" s="903"/>
      <c r="B647" s="903"/>
      <c r="C647" s="903"/>
      <c r="D647" s="903"/>
      <c r="E647" s="903"/>
      <c r="R647" s="904"/>
      <c r="S647" s="904"/>
      <c r="T647" s="904"/>
      <c r="U647" s="904"/>
      <c r="V647" s="904"/>
      <c r="W647" s="904"/>
      <c r="X647" s="904"/>
      <c r="Y647" s="904"/>
    </row>
    <row r="648" spans="1:25" x14ac:dyDescent="0.2">
      <c r="A648" s="903"/>
      <c r="B648" s="903"/>
      <c r="C648" s="903"/>
      <c r="D648" s="903"/>
      <c r="E648" s="903"/>
      <c r="R648" s="904"/>
      <c r="S648" s="904"/>
      <c r="T648" s="904"/>
      <c r="U648" s="904"/>
      <c r="V648" s="904"/>
      <c r="W648" s="904"/>
      <c r="X648" s="904"/>
      <c r="Y648" s="904"/>
    </row>
    <row r="649" spans="1:25" x14ac:dyDescent="0.2">
      <c r="A649" s="903"/>
      <c r="B649" s="903"/>
      <c r="C649" s="903"/>
      <c r="D649" s="903"/>
      <c r="E649" s="903"/>
      <c r="R649" s="904"/>
      <c r="S649" s="904"/>
      <c r="T649" s="904"/>
      <c r="U649" s="904"/>
      <c r="V649" s="904"/>
      <c r="W649" s="904"/>
      <c r="X649" s="904"/>
      <c r="Y649" s="904"/>
    </row>
    <row r="650" spans="1:25" x14ac:dyDescent="0.2">
      <c r="A650" s="903"/>
      <c r="B650" s="903"/>
      <c r="C650" s="903"/>
      <c r="D650" s="903"/>
      <c r="E650" s="903"/>
      <c r="R650" s="904"/>
      <c r="S650" s="904"/>
      <c r="T650" s="904"/>
      <c r="U650" s="904"/>
      <c r="V650" s="904"/>
      <c r="W650" s="904"/>
      <c r="X650" s="904"/>
      <c r="Y650" s="904"/>
    </row>
    <row r="651" spans="1:25" x14ac:dyDescent="0.2">
      <c r="A651" s="903"/>
      <c r="B651" s="903"/>
      <c r="C651" s="903"/>
      <c r="D651" s="903"/>
      <c r="E651" s="903"/>
      <c r="R651" s="904"/>
      <c r="S651" s="904"/>
      <c r="T651" s="904"/>
      <c r="U651" s="904"/>
      <c r="V651" s="904"/>
      <c r="W651" s="904"/>
      <c r="X651" s="904"/>
      <c r="Y651" s="904"/>
    </row>
    <row r="652" spans="1:25" x14ac:dyDescent="0.2">
      <c r="A652" s="903"/>
      <c r="B652" s="903"/>
      <c r="C652" s="903"/>
      <c r="D652" s="903"/>
      <c r="E652" s="903"/>
      <c r="R652" s="904"/>
      <c r="S652" s="904"/>
      <c r="T652" s="904"/>
      <c r="U652" s="904"/>
      <c r="V652" s="904"/>
      <c r="W652" s="904"/>
      <c r="X652" s="904"/>
      <c r="Y652" s="904"/>
    </row>
    <row r="653" spans="1:25" x14ac:dyDescent="0.2">
      <c r="A653" s="903"/>
      <c r="B653" s="903"/>
      <c r="C653" s="903"/>
      <c r="D653" s="903"/>
      <c r="E653" s="903"/>
      <c r="R653" s="904"/>
      <c r="S653" s="904"/>
      <c r="T653" s="904"/>
      <c r="U653" s="904"/>
      <c r="V653" s="904"/>
      <c r="W653" s="904"/>
      <c r="X653" s="904"/>
      <c r="Y653" s="904"/>
    </row>
    <row r="654" spans="1:25" x14ac:dyDescent="0.2">
      <c r="A654" s="903"/>
      <c r="B654" s="903"/>
      <c r="C654" s="903"/>
      <c r="D654" s="903"/>
      <c r="E654" s="903"/>
      <c r="R654" s="904"/>
      <c r="S654" s="904"/>
      <c r="T654" s="904"/>
      <c r="U654" s="904"/>
      <c r="V654" s="904"/>
      <c r="W654" s="904"/>
      <c r="X654" s="904"/>
      <c r="Y654" s="904"/>
    </row>
    <row r="655" spans="1:25" x14ac:dyDescent="0.2">
      <c r="A655" s="903"/>
      <c r="B655" s="903"/>
      <c r="C655" s="903"/>
      <c r="D655" s="903"/>
      <c r="E655" s="903"/>
      <c r="R655" s="904"/>
      <c r="S655" s="904"/>
      <c r="T655" s="904"/>
      <c r="U655" s="904"/>
      <c r="V655" s="904"/>
      <c r="W655" s="904"/>
      <c r="X655" s="904"/>
      <c r="Y655" s="904"/>
    </row>
    <row r="656" spans="1:25" x14ac:dyDescent="0.2">
      <c r="A656" s="903"/>
      <c r="B656" s="903"/>
      <c r="C656" s="903"/>
      <c r="D656" s="903"/>
      <c r="E656" s="903"/>
      <c r="R656" s="904"/>
      <c r="S656" s="904"/>
      <c r="T656" s="904"/>
      <c r="U656" s="904"/>
      <c r="V656" s="904"/>
      <c r="W656" s="904"/>
      <c r="X656" s="904"/>
      <c r="Y656" s="904"/>
    </row>
    <row r="657" spans="1:25" x14ac:dyDescent="0.2">
      <c r="A657" s="903"/>
      <c r="B657" s="903"/>
      <c r="C657" s="903"/>
      <c r="D657" s="903"/>
      <c r="E657" s="903"/>
      <c r="R657" s="904"/>
      <c r="S657" s="904"/>
      <c r="T657" s="904"/>
      <c r="U657" s="904"/>
      <c r="V657" s="904"/>
      <c r="W657" s="904"/>
      <c r="X657" s="904"/>
      <c r="Y657" s="904"/>
    </row>
    <row r="658" spans="1:25" x14ac:dyDescent="0.2">
      <c r="A658" s="903"/>
      <c r="B658" s="903"/>
      <c r="C658" s="903"/>
      <c r="D658" s="903"/>
      <c r="E658" s="903"/>
      <c r="R658" s="904"/>
      <c r="S658" s="904"/>
      <c r="T658" s="904"/>
      <c r="U658" s="904"/>
      <c r="V658" s="904"/>
      <c r="W658" s="904"/>
      <c r="X658" s="904"/>
      <c r="Y658" s="904"/>
    </row>
    <row r="659" spans="1:25" x14ac:dyDescent="0.2">
      <c r="A659" s="903"/>
      <c r="B659" s="903"/>
      <c r="C659" s="903"/>
      <c r="D659" s="903"/>
      <c r="E659" s="903"/>
      <c r="R659" s="904"/>
      <c r="S659" s="904"/>
      <c r="T659" s="904"/>
      <c r="U659" s="904"/>
      <c r="V659" s="904"/>
      <c r="W659" s="904"/>
      <c r="X659" s="904"/>
      <c r="Y659" s="904"/>
    </row>
    <row r="660" spans="1:25" x14ac:dyDescent="0.2">
      <c r="A660" s="903"/>
      <c r="B660" s="903"/>
      <c r="C660" s="903"/>
      <c r="D660" s="903"/>
      <c r="E660" s="903"/>
      <c r="R660" s="904"/>
      <c r="S660" s="904"/>
      <c r="T660" s="904"/>
      <c r="U660" s="904"/>
      <c r="V660" s="904"/>
      <c r="W660" s="904"/>
      <c r="X660" s="904"/>
      <c r="Y660" s="904"/>
    </row>
    <row r="661" spans="1:25" x14ac:dyDescent="0.2">
      <c r="A661" s="903"/>
      <c r="B661" s="903"/>
      <c r="C661" s="903"/>
      <c r="D661" s="903"/>
      <c r="E661" s="903"/>
      <c r="R661" s="904"/>
      <c r="S661" s="904"/>
      <c r="T661" s="904"/>
      <c r="U661" s="904"/>
      <c r="V661" s="904"/>
      <c r="W661" s="904"/>
      <c r="X661" s="904"/>
      <c r="Y661" s="904"/>
    </row>
    <row r="662" spans="1:25" x14ac:dyDescent="0.2">
      <c r="A662" s="903"/>
      <c r="B662" s="903"/>
      <c r="C662" s="903"/>
      <c r="D662" s="903"/>
      <c r="E662" s="903"/>
      <c r="R662" s="904"/>
      <c r="S662" s="904"/>
      <c r="T662" s="904"/>
      <c r="U662" s="904"/>
      <c r="V662" s="904"/>
      <c r="W662" s="904"/>
      <c r="X662" s="904"/>
      <c r="Y662" s="904"/>
    </row>
    <row r="663" spans="1:25" x14ac:dyDescent="0.2">
      <c r="A663" s="903"/>
      <c r="B663" s="903"/>
      <c r="C663" s="903"/>
      <c r="D663" s="903"/>
      <c r="E663" s="903"/>
      <c r="R663" s="904"/>
      <c r="S663" s="904"/>
      <c r="T663" s="904"/>
      <c r="U663" s="904"/>
      <c r="V663" s="904"/>
      <c r="W663" s="904"/>
      <c r="X663" s="904"/>
      <c r="Y663" s="904"/>
    </row>
    <row r="664" spans="1:25" x14ac:dyDescent="0.2">
      <c r="A664" s="903"/>
      <c r="B664" s="903"/>
      <c r="C664" s="903"/>
      <c r="D664" s="903"/>
      <c r="E664" s="903"/>
      <c r="R664" s="904"/>
      <c r="S664" s="904"/>
      <c r="T664" s="904"/>
      <c r="U664" s="904"/>
      <c r="V664" s="904"/>
      <c r="W664" s="904"/>
      <c r="X664" s="904"/>
      <c r="Y664" s="904"/>
    </row>
    <row r="665" spans="1:25" x14ac:dyDescent="0.2">
      <c r="A665" s="903"/>
      <c r="B665" s="903"/>
      <c r="C665" s="903"/>
      <c r="D665" s="903"/>
      <c r="E665" s="903"/>
      <c r="R665" s="904"/>
      <c r="S665" s="904"/>
      <c r="T665" s="904"/>
      <c r="U665" s="904"/>
      <c r="V665" s="904"/>
      <c r="W665" s="904"/>
      <c r="X665" s="904"/>
      <c r="Y665" s="904"/>
    </row>
    <row r="666" spans="1:25" x14ac:dyDescent="0.2">
      <c r="A666" s="903"/>
      <c r="B666" s="903"/>
      <c r="C666" s="903"/>
      <c r="D666" s="903"/>
      <c r="E666" s="903"/>
      <c r="R666" s="904"/>
      <c r="S666" s="904"/>
      <c r="T666" s="904"/>
      <c r="U666" s="904"/>
      <c r="V666" s="904"/>
      <c r="W666" s="904"/>
      <c r="X666" s="904"/>
      <c r="Y666" s="904"/>
    </row>
    <row r="667" spans="1:25" x14ac:dyDescent="0.2">
      <c r="A667" s="903"/>
      <c r="B667" s="903"/>
      <c r="C667" s="903"/>
      <c r="D667" s="903"/>
      <c r="E667" s="903"/>
      <c r="R667" s="904"/>
      <c r="S667" s="904"/>
      <c r="T667" s="904"/>
      <c r="U667" s="904"/>
      <c r="V667" s="904"/>
      <c r="W667" s="904"/>
      <c r="X667" s="904"/>
      <c r="Y667" s="904"/>
    </row>
    <row r="668" spans="1:25" x14ac:dyDescent="0.2">
      <c r="A668" s="903"/>
      <c r="B668" s="903"/>
      <c r="C668" s="903"/>
      <c r="D668" s="903"/>
      <c r="E668" s="903"/>
      <c r="R668" s="904"/>
      <c r="S668" s="904"/>
      <c r="T668" s="904"/>
      <c r="U668" s="904"/>
      <c r="V668" s="904"/>
      <c r="W668" s="904"/>
      <c r="X668" s="904"/>
      <c r="Y668" s="904"/>
    </row>
    <row r="669" spans="1:25" x14ac:dyDescent="0.2">
      <c r="A669" s="903"/>
      <c r="B669" s="903"/>
      <c r="C669" s="903"/>
      <c r="D669" s="903"/>
      <c r="E669" s="903"/>
      <c r="R669" s="904"/>
      <c r="S669" s="904"/>
      <c r="T669" s="904"/>
      <c r="U669" s="904"/>
      <c r="V669" s="904"/>
      <c r="W669" s="904"/>
      <c r="X669" s="904"/>
      <c r="Y669" s="904"/>
    </row>
    <row r="670" spans="1:25" x14ac:dyDescent="0.2">
      <c r="A670" s="903"/>
      <c r="B670" s="903"/>
      <c r="C670" s="903"/>
      <c r="D670" s="903"/>
      <c r="E670" s="903"/>
      <c r="R670" s="904"/>
      <c r="S670" s="904"/>
      <c r="T670" s="904"/>
      <c r="U670" s="904"/>
      <c r="V670" s="904"/>
      <c r="W670" s="904"/>
      <c r="X670" s="904"/>
      <c r="Y670" s="904"/>
    </row>
    <row r="671" spans="1:25" x14ac:dyDescent="0.2">
      <c r="A671" s="903"/>
      <c r="B671" s="903"/>
      <c r="C671" s="903"/>
      <c r="D671" s="903"/>
      <c r="E671" s="903"/>
      <c r="R671" s="904"/>
      <c r="S671" s="904"/>
      <c r="T671" s="904"/>
      <c r="U671" s="904"/>
      <c r="V671" s="904"/>
      <c r="W671" s="904"/>
      <c r="X671" s="904"/>
      <c r="Y671" s="904"/>
    </row>
    <row r="672" spans="1:25" x14ac:dyDescent="0.2">
      <c r="A672" s="903"/>
      <c r="B672" s="903"/>
      <c r="C672" s="903"/>
      <c r="D672" s="903"/>
      <c r="E672" s="903"/>
      <c r="R672" s="904"/>
      <c r="S672" s="904"/>
      <c r="T672" s="904"/>
      <c r="U672" s="904"/>
      <c r="V672" s="904"/>
      <c r="W672" s="904"/>
      <c r="X672" s="904"/>
      <c r="Y672" s="904"/>
    </row>
    <row r="673" spans="1:25" x14ac:dyDescent="0.2">
      <c r="A673" s="903"/>
      <c r="B673" s="903"/>
      <c r="C673" s="903"/>
      <c r="D673" s="903"/>
      <c r="E673" s="903"/>
      <c r="R673" s="904"/>
      <c r="S673" s="904"/>
      <c r="T673" s="904"/>
      <c r="U673" s="904"/>
      <c r="V673" s="904"/>
      <c r="W673" s="904"/>
      <c r="X673" s="904"/>
      <c r="Y673" s="904"/>
    </row>
    <row r="674" spans="1:25" x14ac:dyDescent="0.2">
      <c r="A674" s="903"/>
      <c r="B674" s="903"/>
      <c r="C674" s="903"/>
      <c r="D674" s="903"/>
      <c r="E674" s="903"/>
      <c r="R674" s="904"/>
      <c r="S674" s="904"/>
      <c r="T674" s="904"/>
      <c r="U674" s="904"/>
      <c r="V674" s="904"/>
      <c r="W674" s="904"/>
      <c r="X674" s="904"/>
      <c r="Y674" s="904"/>
    </row>
    <row r="675" spans="1:25" x14ac:dyDescent="0.2">
      <c r="A675" s="903"/>
      <c r="B675" s="903"/>
      <c r="C675" s="903"/>
      <c r="D675" s="903"/>
      <c r="E675" s="903"/>
      <c r="R675" s="904"/>
      <c r="S675" s="904"/>
      <c r="T675" s="904"/>
      <c r="U675" s="904"/>
      <c r="V675" s="904"/>
      <c r="W675" s="904"/>
      <c r="X675" s="904"/>
      <c r="Y675" s="904"/>
    </row>
    <row r="676" spans="1:25" x14ac:dyDescent="0.2">
      <c r="A676" s="903"/>
      <c r="B676" s="903"/>
      <c r="C676" s="903"/>
      <c r="D676" s="903"/>
      <c r="E676" s="903"/>
      <c r="R676" s="904"/>
      <c r="S676" s="904"/>
      <c r="T676" s="904"/>
      <c r="U676" s="904"/>
      <c r="V676" s="904"/>
      <c r="W676" s="904"/>
      <c r="X676" s="904"/>
      <c r="Y676" s="904"/>
    </row>
    <row r="677" spans="1:25" x14ac:dyDescent="0.2">
      <c r="A677" s="903"/>
      <c r="B677" s="903"/>
      <c r="C677" s="903"/>
      <c r="D677" s="903"/>
      <c r="E677" s="903"/>
      <c r="R677" s="904"/>
      <c r="S677" s="904"/>
      <c r="T677" s="904"/>
      <c r="U677" s="904"/>
      <c r="V677" s="904"/>
      <c r="W677" s="904"/>
      <c r="X677" s="904"/>
      <c r="Y677" s="904"/>
    </row>
    <row r="678" spans="1:25" x14ac:dyDescent="0.2">
      <c r="A678" s="903"/>
      <c r="B678" s="903"/>
      <c r="C678" s="903"/>
      <c r="D678" s="903"/>
      <c r="E678" s="903"/>
      <c r="R678" s="904"/>
      <c r="S678" s="904"/>
      <c r="T678" s="904"/>
      <c r="U678" s="904"/>
      <c r="V678" s="904"/>
      <c r="W678" s="904"/>
      <c r="X678" s="904"/>
      <c r="Y678" s="904"/>
    </row>
    <row r="679" spans="1:25" x14ac:dyDescent="0.2">
      <c r="A679" s="903"/>
      <c r="B679" s="903"/>
      <c r="C679" s="903"/>
      <c r="D679" s="903"/>
      <c r="E679" s="903"/>
      <c r="R679" s="904"/>
      <c r="S679" s="904"/>
      <c r="T679" s="904"/>
      <c r="U679" s="904"/>
      <c r="V679" s="904"/>
      <c r="W679" s="904"/>
      <c r="X679" s="904"/>
      <c r="Y679" s="904"/>
    </row>
    <row r="680" spans="1:25" x14ac:dyDescent="0.2">
      <c r="A680" s="903"/>
      <c r="B680" s="903"/>
      <c r="C680" s="903"/>
      <c r="D680" s="903"/>
      <c r="E680" s="903"/>
      <c r="R680" s="904"/>
      <c r="S680" s="904"/>
      <c r="T680" s="904"/>
      <c r="U680" s="904"/>
      <c r="V680" s="904"/>
      <c r="W680" s="904"/>
      <c r="X680" s="904"/>
      <c r="Y680" s="904"/>
    </row>
    <row r="681" spans="1:25" x14ac:dyDescent="0.2">
      <c r="A681" s="903"/>
      <c r="B681" s="903"/>
      <c r="C681" s="903"/>
      <c r="D681" s="903"/>
      <c r="E681" s="903"/>
      <c r="R681" s="904"/>
      <c r="S681" s="904"/>
      <c r="T681" s="904"/>
      <c r="U681" s="904"/>
      <c r="V681" s="904"/>
      <c r="W681" s="904"/>
      <c r="X681" s="904"/>
      <c r="Y681" s="904"/>
    </row>
    <row r="682" spans="1:25" x14ac:dyDescent="0.2">
      <c r="A682" s="903"/>
      <c r="B682" s="903"/>
      <c r="C682" s="903"/>
      <c r="D682" s="903"/>
      <c r="E682" s="903"/>
      <c r="R682" s="904"/>
      <c r="S682" s="904"/>
      <c r="T682" s="904"/>
      <c r="U682" s="904"/>
      <c r="V682" s="904"/>
      <c r="W682" s="904"/>
      <c r="X682" s="904"/>
      <c r="Y682" s="904"/>
    </row>
    <row r="683" spans="1:25" x14ac:dyDescent="0.2">
      <c r="A683" s="903"/>
      <c r="B683" s="903"/>
      <c r="C683" s="903"/>
      <c r="D683" s="903"/>
      <c r="E683" s="903"/>
      <c r="R683" s="904"/>
      <c r="S683" s="904"/>
      <c r="T683" s="904"/>
      <c r="U683" s="904"/>
      <c r="V683" s="904"/>
      <c r="W683" s="904"/>
      <c r="X683" s="904"/>
      <c r="Y683" s="904"/>
    </row>
    <row r="684" spans="1:25" x14ac:dyDescent="0.2">
      <c r="A684" s="903"/>
      <c r="B684" s="903"/>
      <c r="C684" s="903"/>
      <c r="D684" s="903"/>
      <c r="E684" s="903"/>
      <c r="R684" s="904"/>
      <c r="S684" s="904"/>
      <c r="T684" s="904"/>
      <c r="U684" s="904"/>
      <c r="V684" s="904"/>
      <c r="W684" s="904"/>
      <c r="X684" s="904"/>
      <c r="Y684" s="904"/>
    </row>
    <row r="685" spans="1:25" x14ac:dyDescent="0.2">
      <c r="A685" s="903"/>
      <c r="B685" s="903"/>
      <c r="C685" s="903"/>
      <c r="D685" s="903"/>
      <c r="E685" s="903"/>
      <c r="R685" s="904"/>
      <c r="S685" s="904"/>
      <c r="T685" s="904"/>
      <c r="U685" s="904"/>
      <c r="V685" s="904"/>
      <c r="W685" s="904"/>
      <c r="X685" s="904"/>
      <c r="Y685" s="904"/>
    </row>
    <row r="686" spans="1:25" x14ac:dyDescent="0.2">
      <c r="A686" s="903"/>
      <c r="B686" s="903"/>
      <c r="C686" s="903"/>
      <c r="D686" s="903"/>
      <c r="E686" s="903"/>
      <c r="R686" s="904"/>
      <c r="S686" s="904"/>
      <c r="T686" s="904"/>
      <c r="U686" s="904"/>
      <c r="V686" s="904"/>
      <c r="W686" s="904"/>
      <c r="X686" s="904"/>
      <c r="Y686" s="904"/>
    </row>
    <row r="687" spans="1:25" x14ac:dyDescent="0.2">
      <c r="A687" s="903"/>
      <c r="B687" s="903"/>
      <c r="C687" s="903"/>
      <c r="D687" s="903"/>
      <c r="E687" s="903"/>
      <c r="R687" s="904"/>
      <c r="S687" s="904"/>
      <c r="T687" s="904"/>
      <c r="U687" s="904"/>
      <c r="V687" s="904"/>
      <c r="W687" s="904"/>
      <c r="X687" s="904"/>
      <c r="Y687" s="904"/>
    </row>
    <row r="688" spans="1:25" x14ac:dyDescent="0.2">
      <c r="A688" s="903"/>
      <c r="B688" s="903"/>
      <c r="C688" s="903"/>
      <c r="D688" s="903"/>
      <c r="E688" s="903"/>
      <c r="R688" s="904"/>
      <c r="S688" s="904"/>
      <c r="T688" s="904"/>
      <c r="U688" s="904"/>
      <c r="V688" s="904"/>
      <c r="W688" s="904"/>
      <c r="X688" s="904"/>
      <c r="Y688" s="904"/>
    </row>
    <row r="689" spans="1:25" x14ac:dyDescent="0.2">
      <c r="A689" s="903"/>
      <c r="B689" s="903"/>
      <c r="C689" s="903"/>
      <c r="D689" s="903"/>
      <c r="E689" s="903"/>
      <c r="R689" s="904"/>
      <c r="S689" s="904"/>
      <c r="T689" s="904"/>
      <c r="U689" s="904"/>
      <c r="V689" s="904"/>
      <c r="W689" s="904"/>
      <c r="X689" s="904"/>
      <c r="Y689" s="904"/>
    </row>
    <row r="690" spans="1:25" x14ac:dyDescent="0.2">
      <c r="A690" s="903"/>
      <c r="B690" s="903"/>
      <c r="C690" s="903"/>
      <c r="D690" s="903"/>
      <c r="E690" s="903"/>
      <c r="R690" s="904"/>
      <c r="S690" s="904"/>
      <c r="T690" s="904"/>
      <c r="U690" s="904"/>
      <c r="V690" s="904"/>
      <c r="W690" s="904"/>
      <c r="X690" s="904"/>
      <c r="Y690" s="904"/>
    </row>
    <row r="691" spans="1:25" x14ac:dyDescent="0.2">
      <c r="A691" s="903"/>
      <c r="B691" s="903"/>
      <c r="C691" s="903"/>
      <c r="D691" s="903"/>
      <c r="E691" s="903"/>
      <c r="R691" s="904"/>
      <c r="S691" s="904"/>
      <c r="T691" s="904"/>
      <c r="U691" s="904"/>
      <c r="V691" s="904"/>
      <c r="W691" s="904"/>
      <c r="X691" s="904"/>
      <c r="Y691" s="904"/>
    </row>
    <row r="692" spans="1:25" x14ac:dyDescent="0.2">
      <c r="A692" s="903"/>
      <c r="B692" s="903"/>
      <c r="C692" s="903"/>
      <c r="D692" s="903"/>
      <c r="E692" s="903"/>
      <c r="R692" s="904"/>
      <c r="S692" s="904"/>
      <c r="T692" s="904"/>
      <c r="U692" s="904"/>
      <c r="V692" s="904"/>
      <c r="W692" s="904"/>
      <c r="X692" s="904"/>
      <c r="Y692" s="904"/>
    </row>
    <row r="693" spans="1:25" x14ac:dyDescent="0.2">
      <c r="A693" s="903"/>
      <c r="B693" s="903"/>
      <c r="C693" s="903"/>
      <c r="D693" s="903"/>
      <c r="E693" s="903"/>
      <c r="R693" s="904"/>
      <c r="S693" s="904"/>
      <c r="T693" s="904"/>
      <c r="U693" s="904"/>
      <c r="V693" s="904"/>
      <c r="W693" s="904"/>
      <c r="X693" s="904"/>
      <c r="Y693" s="904"/>
    </row>
    <row r="694" spans="1:25" x14ac:dyDescent="0.2">
      <c r="A694" s="903"/>
      <c r="B694" s="903"/>
      <c r="C694" s="903"/>
      <c r="D694" s="903"/>
      <c r="E694" s="903"/>
      <c r="R694" s="904"/>
      <c r="S694" s="904"/>
      <c r="T694" s="904"/>
      <c r="U694" s="904"/>
      <c r="V694" s="904"/>
      <c r="W694" s="904"/>
      <c r="X694" s="904"/>
      <c r="Y694" s="904"/>
    </row>
    <row r="695" spans="1:25" x14ac:dyDescent="0.2">
      <c r="A695" s="903"/>
      <c r="B695" s="903"/>
      <c r="C695" s="903"/>
      <c r="D695" s="903"/>
      <c r="E695" s="903"/>
      <c r="R695" s="904"/>
      <c r="S695" s="904"/>
      <c r="T695" s="904"/>
      <c r="U695" s="904"/>
      <c r="V695" s="904"/>
      <c r="W695" s="904"/>
      <c r="X695" s="904"/>
      <c r="Y695" s="904"/>
    </row>
    <row r="696" spans="1:25" x14ac:dyDescent="0.2">
      <c r="A696" s="903"/>
      <c r="B696" s="903"/>
      <c r="C696" s="903"/>
      <c r="D696" s="903"/>
      <c r="E696" s="903"/>
      <c r="R696" s="904"/>
      <c r="S696" s="904"/>
      <c r="T696" s="904"/>
      <c r="U696" s="904"/>
      <c r="V696" s="904"/>
      <c r="W696" s="904"/>
      <c r="X696" s="904"/>
      <c r="Y696" s="904"/>
    </row>
    <row r="697" spans="1:25" x14ac:dyDescent="0.2">
      <c r="A697" s="903"/>
      <c r="B697" s="903"/>
      <c r="C697" s="903"/>
      <c r="D697" s="903"/>
      <c r="E697" s="903"/>
      <c r="R697" s="904"/>
      <c r="S697" s="904"/>
      <c r="T697" s="904"/>
      <c r="U697" s="904"/>
      <c r="V697" s="904"/>
      <c r="W697" s="904"/>
      <c r="X697" s="904"/>
      <c r="Y697" s="904"/>
    </row>
    <row r="698" spans="1:25" x14ac:dyDescent="0.2">
      <c r="A698" s="903"/>
      <c r="B698" s="903"/>
      <c r="C698" s="903"/>
      <c r="D698" s="903"/>
      <c r="E698" s="903"/>
      <c r="R698" s="904"/>
      <c r="S698" s="904"/>
      <c r="T698" s="904"/>
      <c r="U698" s="904"/>
      <c r="V698" s="904"/>
      <c r="W698" s="904"/>
      <c r="X698" s="904"/>
      <c r="Y698" s="904"/>
    </row>
    <row r="699" spans="1:25" x14ac:dyDescent="0.2">
      <c r="A699" s="903"/>
      <c r="B699" s="903"/>
      <c r="C699" s="903"/>
      <c r="D699" s="903"/>
      <c r="E699" s="903"/>
      <c r="R699" s="904"/>
      <c r="S699" s="904"/>
      <c r="T699" s="904"/>
      <c r="U699" s="904"/>
      <c r="V699" s="904"/>
      <c r="W699" s="904"/>
      <c r="X699" s="904"/>
      <c r="Y699" s="904"/>
    </row>
    <row r="700" spans="1:25" x14ac:dyDescent="0.2">
      <c r="A700" s="903"/>
      <c r="B700" s="903"/>
      <c r="C700" s="903"/>
      <c r="D700" s="903"/>
      <c r="E700" s="903"/>
      <c r="R700" s="904"/>
      <c r="S700" s="904"/>
      <c r="T700" s="904"/>
      <c r="U700" s="904"/>
      <c r="V700" s="904"/>
      <c r="W700" s="904"/>
      <c r="X700" s="904"/>
      <c r="Y700" s="904"/>
    </row>
    <row r="701" spans="1:25" x14ac:dyDescent="0.2">
      <c r="A701" s="903"/>
      <c r="B701" s="903"/>
      <c r="C701" s="903"/>
      <c r="D701" s="903"/>
      <c r="E701" s="903"/>
      <c r="R701" s="904"/>
      <c r="S701" s="904"/>
      <c r="T701" s="904"/>
      <c r="U701" s="904"/>
      <c r="V701" s="904"/>
      <c r="W701" s="904"/>
      <c r="X701" s="904"/>
      <c r="Y701" s="904"/>
    </row>
    <row r="702" spans="1:25" x14ac:dyDescent="0.2">
      <c r="A702" s="903"/>
      <c r="B702" s="903"/>
      <c r="C702" s="903"/>
      <c r="D702" s="903"/>
      <c r="E702" s="903"/>
      <c r="R702" s="904"/>
      <c r="S702" s="904"/>
      <c r="T702" s="904"/>
      <c r="U702" s="904"/>
      <c r="V702" s="904"/>
      <c r="W702" s="904"/>
      <c r="X702" s="904"/>
      <c r="Y702" s="904"/>
    </row>
    <row r="703" spans="1:25" x14ac:dyDescent="0.2">
      <c r="A703" s="903"/>
      <c r="B703" s="903"/>
      <c r="C703" s="903"/>
      <c r="D703" s="903"/>
      <c r="E703" s="903"/>
      <c r="R703" s="904"/>
      <c r="S703" s="904"/>
      <c r="T703" s="904"/>
      <c r="U703" s="904"/>
      <c r="V703" s="904"/>
      <c r="W703" s="904"/>
      <c r="X703" s="904"/>
      <c r="Y703" s="904"/>
    </row>
    <row r="704" spans="1:25" x14ac:dyDescent="0.2">
      <c r="A704" s="903"/>
      <c r="B704" s="903"/>
      <c r="C704" s="903"/>
      <c r="D704" s="903"/>
      <c r="E704" s="903"/>
      <c r="R704" s="904"/>
      <c r="S704" s="904"/>
      <c r="T704" s="904"/>
      <c r="U704" s="904"/>
      <c r="V704" s="904"/>
      <c r="W704" s="904"/>
      <c r="X704" s="904"/>
      <c r="Y704" s="904"/>
    </row>
    <row r="705" spans="1:25" x14ac:dyDescent="0.2">
      <c r="A705" s="903"/>
      <c r="B705" s="903"/>
      <c r="C705" s="903"/>
      <c r="D705" s="903"/>
      <c r="E705" s="903"/>
      <c r="R705" s="904"/>
      <c r="S705" s="904"/>
      <c r="T705" s="904"/>
      <c r="U705" s="904"/>
      <c r="V705" s="904"/>
      <c r="W705" s="904"/>
      <c r="X705" s="904"/>
      <c r="Y705" s="904"/>
    </row>
    <row r="706" spans="1:25" x14ac:dyDescent="0.2">
      <c r="A706" s="903"/>
      <c r="B706" s="903"/>
      <c r="C706" s="903"/>
      <c r="D706" s="903"/>
      <c r="E706" s="903"/>
      <c r="R706" s="904"/>
      <c r="S706" s="904"/>
      <c r="T706" s="904"/>
      <c r="U706" s="904"/>
      <c r="V706" s="904"/>
      <c r="W706" s="904"/>
      <c r="X706" s="904"/>
      <c r="Y706" s="904"/>
    </row>
    <row r="707" spans="1:25" x14ac:dyDescent="0.2">
      <c r="A707" s="903"/>
      <c r="B707" s="903"/>
      <c r="C707" s="903"/>
      <c r="D707" s="903"/>
      <c r="E707" s="903"/>
      <c r="R707" s="904"/>
      <c r="S707" s="904"/>
      <c r="T707" s="904"/>
      <c r="U707" s="904"/>
      <c r="V707" s="904"/>
      <c r="W707" s="904"/>
      <c r="X707" s="904"/>
      <c r="Y707" s="904"/>
    </row>
    <row r="708" spans="1:25" x14ac:dyDescent="0.2">
      <c r="A708" s="903"/>
      <c r="B708" s="903"/>
      <c r="C708" s="903"/>
      <c r="D708" s="903"/>
      <c r="E708" s="903"/>
      <c r="R708" s="904"/>
      <c r="S708" s="904"/>
      <c r="T708" s="904"/>
      <c r="U708" s="904"/>
      <c r="V708" s="904"/>
      <c r="W708" s="904"/>
      <c r="X708" s="904"/>
      <c r="Y708" s="904"/>
    </row>
    <row r="709" spans="1:25" x14ac:dyDescent="0.2">
      <c r="A709" s="903"/>
      <c r="B709" s="903"/>
      <c r="C709" s="903"/>
      <c r="D709" s="903"/>
      <c r="E709" s="903"/>
      <c r="R709" s="904"/>
      <c r="S709" s="904"/>
      <c r="T709" s="904"/>
      <c r="U709" s="904"/>
      <c r="V709" s="904"/>
      <c r="W709" s="904"/>
      <c r="X709" s="904"/>
      <c r="Y709" s="904"/>
    </row>
    <row r="710" spans="1:25" x14ac:dyDescent="0.2">
      <c r="A710" s="903"/>
      <c r="B710" s="903"/>
      <c r="C710" s="903"/>
      <c r="D710" s="903"/>
      <c r="E710" s="903"/>
      <c r="R710" s="904"/>
      <c r="S710" s="904"/>
      <c r="T710" s="904"/>
      <c r="U710" s="904"/>
      <c r="V710" s="904"/>
      <c r="W710" s="904"/>
      <c r="X710" s="904"/>
      <c r="Y710" s="904"/>
    </row>
    <row r="711" spans="1:25" x14ac:dyDescent="0.2">
      <c r="A711" s="903"/>
      <c r="B711" s="903"/>
      <c r="C711" s="903"/>
      <c r="D711" s="903"/>
      <c r="E711" s="903"/>
      <c r="R711" s="904"/>
      <c r="S711" s="904"/>
      <c r="T711" s="904"/>
      <c r="U711" s="904"/>
      <c r="V711" s="904"/>
      <c r="W711" s="904"/>
      <c r="X711" s="904"/>
      <c r="Y711" s="904"/>
    </row>
    <row r="712" spans="1:25" x14ac:dyDescent="0.2">
      <c r="A712" s="903"/>
      <c r="B712" s="903"/>
      <c r="C712" s="903"/>
      <c r="D712" s="903"/>
      <c r="E712" s="903"/>
      <c r="R712" s="904"/>
      <c r="S712" s="904"/>
      <c r="T712" s="904"/>
      <c r="U712" s="904"/>
      <c r="V712" s="904"/>
      <c r="W712" s="904"/>
      <c r="X712" s="904"/>
      <c r="Y712" s="904"/>
    </row>
    <row r="713" spans="1:25" x14ac:dyDescent="0.2">
      <c r="A713" s="903"/>
      <c r="B713" s="903"/>
      <c r="C713" s="903"/>
      <c r="D713" s="903"/>
      <c r="E713" s="903"/>
      <c r="R713" s="904"/>
      <c r="S713" s="904"/>
      <c r="T713" s="904"/>
      <c r="U713" s="904"/>
      <c r="V713" s="904"/>
      <c r="W713" s="904"/>
      <c r="X713" s="904"/>
      <c r="Y713" s="904"/>
    </row>
    <row r="714" spans="1:25" x14ac:dyDescent="0.2">
      <c r="A714" s="903"/>
      <c r="B714" s="903"/>
      <c r="C714" s="903"/>
      <c r="D714" s="903"/>
      <c r="E714" s="903"/>
      <c r="R714" s="904"/>
      <c r="S714" s="904"/>
      <c r="T714" s="904"/>
      <c r="U714" s="904"/>
      <c r="V714" s="904"/>
      <c r="W714" s="904"/>
      <c r="X714" s="904"/>
      <c r="Y714" s="904"/>
    </row>
    <row r="715" spans="1:25" x14ac:dyDescent="0.2">
      <c r="A715" s="903"/>
      <c r="B715" s="903"/>
      <c r="C715" s="903"/>
      <c r="D715" s="903"/>
      <c r="E715" s="903"/>
      <c r="R715" s="904"/>
      <c r="S715" s="904"/>
      <c r="T715" s="904"/>
      <c r="U715" s="904"/>
      <c r="V715" s="904"/>
      <c r="W715" s="904"/>
      <c r="X715" s="904"/>
      <c r="Y715" s="904"/>
    </row>
    <row r="716" spans="1:25" x14ac:dyDescent="0.2">
      <c r="A716" s="903"/>
      <c r="B716" s="903"/>
      <c r="C716" s="903"/>
      <c r="D716" s="903"/>
      <c r="E716" s="903"/>
      <c r="R716" s="904"/>
      <c r="S716" s="904"/>
      <c r="T716" s="904"/>
      <c r="U716" s="904"/>
      <c r="V716" s="904"/>
      <c r="W716" s="904"/>
      <c r="X716" s="904"/>
      <c r="Y716" s="904"/>
    </row>
    <row r="717" spans="1:25" x14ac:dyDescent="0.2">
      <c r="A717" s="903"/>
      <c r="B717" s="903"/>
      <c r="C717" s="903"/>
      <c r="D717" s="903"/>
      <c r="E717" s="903"/>
      <c r="R717" s="904"/>
      <c r="S717" s="904"/>
      <c r="T717" s="904"/>
      <c r="U717" s="904"/>
      <c r="V717" s="904"/>
      <c r="W717" s="904"/>
      <c r="X717" s="904"/>
      <c r="Y717" s="904"/>
    </row>
    <row r="718" spans="1:25" x14ac:dyDescent="0.2">
      <c r="A718" s="903"/>
      <c r="B718" s="903"/>
      <c r="C718" s="903"/>
      <c r="D718" s="903"/>
      <c r="E718" s="903"/>
      <c r="R718" s="904"/>
      <c r="S718" s="904"/>
      <c r="T718" s="904"/>
      <c r="U718" s="904"/>
      <c r="V718" s="904"/>
      <c r="W718" s="904"/>
      <c r="X718" s="904"/>
      <c r="Y718" s="904"/>
    </row>
    <row r="719" spans="1:25" x14ac:dyDescent="0.2">
      <c r="A719" s="903"/>
      <c r="B719" s="903"/>
      <c r="C719" s="903"/>
      <c r="D719" s="903"/>
      <c r="E719" s="903"/>
      <c r="R719" s="904"/>
      <c r="S719" s="904"/>
      <c r="T719" s="904"/>
      <c r="U719" s="904"/>
      <c r="V719" s="904"/>
      <c r="W719" s="904"/>
      <c r="X719" s="904"/>
      <c r="Y719" s="904"/>
    </row>
    <row r="720" spans="1:25" x14ac:dyDescent="0.2">
      <c r="A720" s="903"/>
      <c r="B720" s="903"/>
      <c r="C720" s="903"/>
      <c r="D720" s="903"/>
      <c r="E720" s="903"/>
      <c r="R720" s="904"/>
      <c r="S720" s="904"/>
      <c r="T720" s="904"/>
      <c r="U720" s="904"/>
      <c r="V720" s="904"/>
      <c r="W720" s="904"/>
      <c r="X720" s="904"/>
      <c r="Y720" s="904"/>
    </row>
    <row r="721" spans="1:25" x14ac:dyDescent="0.2">
      <c r="A721" s="903"/>
      <c r="B721" s="903"/>
      <c r="C721" s="903"/>
      <c r="D721" s="903"/>
      <c r="E721" s="903"/>
      <c r="R721" s="904"/>
      <c r="S721" s="904"/>
      <c r="T721" s="904"/>
      <c r="U721" s="904"/>
      <c r="V721" s="904"/>
      <c r="W721" s="904"/>
      <c r="X721" s="904"/>
      <c r="Y721" s="904"/>
    </row>
    <row r="722" spans="1:25" x14ac:dyDescent="0.2">
      <c r="A722" s="903"/>
      <c r="B722" s="903"/>
      <c r="C722" s="903"/>
      <c r="D722" s="903"/>
      <c r="E722" s="903"/>
      <c r="R722" s="904"/>
      <c r="S722" s="904"/>
      <c r="T722" s="904"/>
      <c r="U722" s="904"/>
      <c r="V722" s="904"/>
      <c r="W722" s="904"/>
      <c r="X722" s="904"/>
      <c r="Y722" s="904"/>
    </row>
    <row r="723" spans="1:25" x14ac:dyDescent="0.2">
      <c r="A723" s="903"/>
      <c r="B723" s="903"/>
      <c r="C723" s="903"/>
      <c r="D723" s="903"/>
      <c r="E723" s="903"/>
      <c r="R723" s="904"/>
      <c r="S723" s="904"/>
      <c r="T723" s="904"/>
      <c r="U723" s="904"/>
      <c r="V723" s="904"/>
      <c r="W723" s="904"/>
      <c r="X723" s="904"/>
      <c r="Y723" s="904"/>
    </row>
    <row r="724" spans="1:25" x14ac:dyDescent="0.2">
      <c r="A724" s="903"/>
      <c r="B724" s="903"/>
      <c r="C724" s="903"/>
      <c r="D724" s="903"/>
      <c r="E724" s="903"/>
      <c r="R724" s="904"/>
      <c r="S724" s="904"/>
      <c r="T724" s="904"/>
      <c r="U724" s="904"/>
      <c r="V724" s="904"/>
      <c r="W724" s="904"/>
      <c r="X724" s="904"/>
      <c r="Y724" s="904"/>
    </row>
    <row r="725" spans="1:25" x14ac:dyDescent="0.2">
      <c r="A725" s="903"/>
      <c r="B725" s="903"/>
      <c r="C725" s="903"/>
      <c r="D725" s="903"/>
      <c r="E725" s="903"/>
      <c r="R725" s="904"/>
      <c r="S725" s="904"/>
      <c r="T725" s="904"/>
      <c r="U725" s="904"/>
      <c r="V725" s="904"/>
      <c r="W725" s="904"/>
      <c r="X725" s="904"/>
      <c r="Y725" s="904"/>
    </row>
    <row r="726" spans="1:25" x14ac:dyDescent="0.2">
      <c r="A726" s="903"/>
      <c r="B726" s="903"/>
      <c r="C726" s="903"/>
      <c r="D726" s="903"/>
      <c r="E726" s="903"/>
      <c r="R726" s="904"/>
      <c r="S726" s="904"/>
      <c r="T726" s="904"/>
      <c r="U726" s="904"/>
      <c r="V726" s="904"/>
      <c r="W726" s="904"/>
      <c r="X726" s="904"/>
      <c r="Y726" s="904"/>
    </row>
    <row r="727" spans="1:25" x14ac:dyDescent="0.2">
      <c r="A727" s="903"/>
      <c r="B727" s="903"/>
      <c r="C727" s="903"/>
      <c r="D727" s="903"/>
      <c r="E727" s="903"/>
      <c r="R727" s="904"/>
      <c r="S727" s="904"/>
      <c r="T727" s="904"/>
      <c r="U727" s="904"/>
      <c r="V727" s="904"/>
      <c r="W727" s="904"/>
      <c r="X727" s="904"/>
      <c r="Y727" s="904"/>
    </row>
    <row r="728" spans="1:25" x14ac:dyDescent="0.2">
      <c r="A728" s="903"/>
      <c r="B728" s="903"/>
      <c r="C728" s="903"/>
      <c r="D728" s="903"/>
      <c r="E728" s="903"/>
      <c r="R728" s="904"/>
      <c r="S728" s="904"/>
      <c r="T728" s="904"/>
      <c r="U728" s="904"/>
      <c r="V728" s="904"/>
      <c r="W728" s="904"/>
      <c r="X728" s="904"/>
      <c r="Y728" s="904"/>
    </row>
    <row r="729" spans="1:25" x14ac:dyDescent="0.2">
      <c r="A729" s="903"/>
      <c r="B729" s="903"/>
      <c r="C729" s="903"/>
      <c r="D729" s="903"/>
      <c r="E729" s="903"/>
      <c r="R729" s="904"/>
      <c r="S729" s="904"/>
      <c r="T729" s="904"/>
      <c r="U729" s="904"/>
      <c r="V729" s="904"/>
      <c r="W729" s="904"/>
      <c r="X729" s="904"/>
      <c r="Y729" s="904"/>
    </row>
    <row r="730" spans="1:25" x14ac:dyDescent="0.2">
      <c r="A730" s="903"/>
      <c r="B730" s="903"/>
      <c r="C730" s="903"/>
      <c r="D730" s="903"/>
      <c r="E730" s="903"/>
      <c r="R730" s="904"/>
      <c r="S730" s="904"/>
      <c r="T730" s="904"/>
      <c r="U730" s="904"/>
      <c r="V730" s="904"/>
      <c r="W730" s="904"/>
      <c r="X730" s="904"/>
      <c r="Y730" s="904"/>
    </row>
    <row r="731" spans="1:25" x14ac:dyDescent="0.2">
      <c r="A731" s="903"/>
      <c r="B731" s="903"/>
      <c r="C731" s="903"/>
      <c r="D731" s="903"/>
      <c r="E731" s="903"/>
      <c r="R731" s="904"/>
      <c r="S731" s="904"/>
      <c r="T731" s="904"/>
      <c r="U731" s="904"/>
      <c r="V731" s="904"/>
      <c r="W731" s="904"/>
      <c r="X731" s="904"/>
      <c r="Y731" s="904"/>
    </row>
    <row r="732" spans="1:25" x14ac:dyDescent="0.2">
      <c r="A732" s="903"/>
      <c r="B732" s="903"/>
      <c r="C732" s="903"/>
      <c r="D732" s="903"/>
      <c r="E732" s="903"/>
      <c r="R732" s="904"/>
      <c r="S732" s="904"/>
      <c r="T732" s="904"/>
      <c r="U732" s="904"/>
      <c r="V732" s="904"/>
      <c r="W732" s="904"/>
      <c r="X732" s="904"/>
      <c r="Y732" s="904"/>
    </row>
    <row r="733" spans="1:25" x14ac:dyDescent="0.2">
      <c r="A733" s="903"/>
      <c r="B733" s="903"/>
      <c r="C733" s="903"/>
      <c r="D733" s="903"/>
      <c r="E733" s="903"/>
      <c r="R733" s="904"/>
      <c r="S733" s="904"/>
      <c r="T733" s="904"/>
      <c r="U733" s="904"/>
      <c r="V733" s="904"/>
      <c r="W733" s="904"/>
      <c r="X733" s="904"/>
      <c r="Y733" s="904"/>
    </row>
    <row r="734" spans="1:25" x14ac:dyDescent="0.2">
      <c r="A734" s="903"/>
      <c r="B734" s="903"/>
      <c r="C734" s="903"/>
      <c r="D734" s="903"/>
      <c r="E734" s="903"/>
      <c r="R734" s="904"/>
      <c r="S734" s="904"/>
      <c r="T734" s="904"/>
      <c r="U734" s="904"/>
      <c r="V734" s="904"/>
      <c r="W734" s="904"/>
      <c r="X734" s="904"/>
      <c r="Y734" s="904"/>
    </row>
    <row r="735" spans="1:25" x14ac:dyDescent="0.2">
      <c r="A735" s="903"/>
      <c r="B735" s="903"/>
      <c r="C735" s="903"/>
      <c r="D735" s="903"/>
      <c r="E735" s="903"/>
      <c r="R735" s="904"/>
      <c r="S735" s="904"/>
      <c r="T735" s="904"/>
      <c r="U735" s="904"/>
      <c r="V735" s="904"/>
      <c r="W735" s="904"/>
      <c r="X735" s="904"/>
      <c r="Y735" s="904"/>
    </row>
    <row r="736" spans="1:25" x14ac:dyDescent="0.2">
      <c r="A736" s="903"/>
      <c r="B736" s="903"/>
      <c r="C736" s="903"/>
      <c r="D736" s="903"/>
      <c r="E736" s="903"/>
      <c r="R736" s="904"/>
      <c r="S736" s="904"/>
      <c r="T736" s="904"/>
      <c r="U736" s="904"/>
      <c r="V736" s="904"/>
      <c r="W736" s="904"/>
      <c r="X736" s="904"/>
      <c r="Y736" s="904"/>
    </row>
    <row r="737" spans="1:25" x14ac:dyDescent="0.2">
      <c r="A737" s="903"/>
      <c r="B737" s="903"/>
      <c r="C737" s="903"/>
      <c r="D737" s="903"/>
      <c r="E737" s="903"/>
      <c r="R737" s="904"/>
      <c r="S737" s="904"/>
      <c r="T737" s="904"/>
      <c r="U737" s="904"/>
      <c r="V737" s="904"/>
      <c r="W737" s="904"/>
      <c r="X737" s="904"/>
      <c r="Y737" s="904"/>
    </row>
    <row r="738" spans="1:25" x14ac:dyDescent="0.2">
      <c r="A738" s="903"/>
      <c r="B738" s="903"/>
      <c r="C738" s="903"/>
      <c r="D738" s="903"/>
      <c r="E738" s="903"/>
      <c r="R738" s="904"/>
      <c r="S738" s="904"/>
      <c r="T738" s="904"/>
      <c r="U738" s="904"/>
      <c r="V738" s="904"/>
      <c r="W738" s="904"/>
      <c r="X738" s="904"/>
      <c r="Y738" s="904"/>
    </row>
    <row r="739" spans="1:25" x14ac:dyDescent="0.2">
      <c r="A739" s="903"/>
      <c r="B739" s="903"/>
      <c r="C739" s="903"/>
      <c r="D739" s="903"/>
      <c r="E739" s="903"/>
      <c r="R739" s="904"/>
      <c r="S739" s="904"/>
      <c r="T739" s="904"/>
      <c r="U739" s="904"/>
      <c r="V739" s="904"/>
      <c r="W739" s="904"/>
      <c r="X739" s="904"/>
      <c r="Y739" s="904"/>
    </row>
    <row r="740" spans="1:25" x14ac:dyDescent="0.2">
      <c r="A740" s="903"/>
      <c r="B740" s="903"/>
      <c r="C740" s="903"/>
      <c r="D740" s="903"/>
      <c r="E740" s="903"/>
      <c r="R740" s="904"/>
      <c r="S740" s="904"/>
      <c r="T740" s="904"/>
      <c r="U740" s="904"/>
      <c r="V740" s="904"/>
      <c r="W740" s="904"/>
      <c r="X740" s="904"/>
      <c r="Y740" s="904"/>
    </row>
    <row r="741" spans="1:25" x14ac:dyDescent="0.2">
      <c r="A741" s="903"/>
      <c r="B741" s="903"/>
      <c r="C741" s="903"/>
      <c r="D741" s="903"/>
      <c r="E741" s="903"/>
      <c r="R741" s="904"/>
      <c r="S741" s="904"/>
      <c r="T741" s="904"/>
      <c r="U741" s="904"/>
      <c r="V741" s="904"/>
      <c r="W741" s="904"/>
      <c r="X741" s="904"/>
      <c r="Y741" s="904"/>
    </row>
    <row r="742" spans="1:25" x14ac:dyDescent="0.2">
      <c r="A742" s="903"/>
      <c r="B742" s="903"/>
      <c r="C742" s="903"/>
      <c r="D742" s="903"/>
      <c r="E742" s="903"/>
      <c r="R742" s="904"/>
      <c r="S742" s="904"/>
      <c r="T742" s="904"/>
      <c r="U742" s="904"/>
      <c r="V742" s="904"/>
      <c r="W742" s="904"/>
      <c r="X742" s="904"/>
      <c r="Y742" s="904"/>
    </row>
    <row r="743" spans="1:25" x14ac:dyDescent="0.2">
      <c r="A743" s="903"/>
      <c r="B743" s="903"/>
      <c r="C743" s="903"/>
      <c r="D743" s="903"/>
      <c r="E743" s="903"/>
      <c r="R743" s="904"/>
      <c r="S743" s="904"/>
      <c r="T743" s="904"/>
      <c r="U743" s="904"/>
      <c r="V743" s="904"/>
      <c r="W743" s="904"/>
      <c r="X743" s="904"/>
      <c r="Y743" s="904"/>
    </row>
    <row r="744" spans="1:25" x14ac:dyDescent="0.2">
      <c r="A744" s="903"/>
      <c r="B744" s="903"/>
      <c r="C744" s="903"/>
      <c r="D744" s="903"/>
      <c r="E744" s="903"/>
      <c r="R744" s="904"/>
      <c r="S744" s="904"/>
      <c r="T744" s="904"/>
      <c r="U744" s="904"/>
      <c r="V744" s="904"/>
      <c r="W744" s="904"/>
      <c r="X744" s="904"/>
      <c r="Y744" s="904"/>
    </row>
    <row r="745" spans="1:25" x14ac:dyDescent="0.2">
      <c r="A745" s="903"/>
      <c r="B745" s="903"/>
      <c r="C745" s="903"/>
      <c r="D745" s="903"/>
      <c r="E745" s="903"/>
      <c r="R745" s="904"/>
      <c r="S745" s="904"/>
      <c r="T745" s="904"/>
      <c r="U745" s="904"/>
      <c r="V745" s="904"/>
      <c r="W745" s="904"/>
      <c r="X745" s="904"/>
      <c r="Y745" s="904"/>
    </row>
    <row r="746" spans="1:25" x14ac:dyDescent="0.2">
      <c r="A746" s="903"/>
      <c r="B746" s="903"/>
      <c r="C746" s="903"/>
      <c r="D746" s="903"/>
      <c r="E746" s="903"/>
      <c r="R746" s="904"/>
      <c r="S746" s="904"/>
      <c r="T746" s="904"/>
      <c r="U746" s="904"/>
      <c r="V746" s="904"/>
      <c r="W746" s="904"/>
      <c r="X746" s="904"/>
      <c r="Y746" s="904"/>
    </row>
    <row r="747" spans="1:25" x14ac:dyDescent="0.2">
      <c r="A747" s="903"/>
      <c r="B747" s="903"/>
      <c r="C747" s="903"/>
      <c r="D747" s="903"/>
      <c r="E747" s="903"/>
      <c r="R747" s="904"/>
      <c r="S747" s="904"/>
      <c r="T747" s="904"/>
      <c r="U747" s="904"/>
      <c r="V747" s="904"/>
      <c r="W747" s="904"/>
      <c r="X747" s="904"/>
      <c r="Y747" s="904"/>
    </row>
    <row r="748" spans="1:25" x14ac:dyDescent="0.2">
      <c r="A748" s="903"/>
      <c r="B748" s="903"/>
      <c r="C748" s="903"/>
      <c r="D748" s="903"/>
      <c r="E748" s="903"/>
      <c r="R748" s="904"/>
      <c r="S748" s="904"/>
      <c r="T748" s="904"/>
      <c r="U748" s="904"/>
      <c r="V748" s="904"/>
      <c r="W748" s="904"/>
      <c r="X748" s="904"/>
      <c r="Y748" s="904"/>
    </row>
    <row r="749" spans="1:25" x14ac:dyDescent="0.2">
      <c r="A749" s="903"/>
      <c r="B749" s="903"/>
      <c r="C749" s="903"/>
      <c r="D749" s="903"/>
      <c r="E749" s="903"/>
      <c r="R749" s="904"/>
      <c r="S749" s="904"/>
      <c r="T749" s="904"/>
      <c r="U749" s="904"/>
      <c r="V749" s="904"/>
      <c r="W749" s="904"/>
      <c r="X749" s="904"/>
      <c r="Y749" s="904"/>
    </row>
    <row r="750" spans="1:25" x14ac:dyDescent="0.2">
      <c r="A750" s="903"/>
      <c r="B750" s="903"/>
      <c r="C750" s="903"/>
      <c r="D750" s="903"/>
      <c r="E750" s="903"/>
      <c r="R750" s="904"/>
      <c r="S750" s="904"/>
      <c r="T750" s="904"/>
      <c r="U750" s="904"/>
      <c r="V750" s="904"/>
      <c r="W750" s="904"/>
      <c r="X750" s="904"/>
      <c r="Y750" s="904"/>
    </row>
    <row r="751" spans="1:25" x14ac:dyDescent="0.2">
      <c r="A751" s="903"/>
      <c r="B751" s="903"/>
      <c r="C751" s="903"/>
      <c r="D751" s="903"/>
      <c r="E751" s="903"/>
      <c r="R751" s="904"/>
      <c r="S751" s="904"/>
      <c r="T751" s="904"/>
      <c r="U751" s="904"/>
      <c r="V751" s="904"/>
      <c r="W751" s="904"/>
      <c r="X751" s="904"/>
      <c r="Y751" s="904"/>
    </row>
    <row r="752" spans="1:25" x14ac:dyDescent="0.2">
      <c r="A752" s="903"/>
      <c r="B752" s="903"/>
      <c r="C752" s="903"/>
      <c r="D752" s="903"/>
      <c r="E752" s="903"/>
      <c r="R752" s="904"/>
      <c r="S752" s="904"/>
      <c r="T752" s="904"/>
      <c r="U752" s="904"/>
      <c r="V752" s="904"/>
      <c r="W752" s="904"/>
      <c r="X752" s="904"/>
      <c r="Y752" s="904"/>
    </row>
    <row r="753" spans="1:25" x14ac:dyDescent="0.2">
      <c r="A753" s="903"/>
      <c r="B753" s="903"/>
      <c r="C753" s="903"/>
      <c r="D753" s="903"/>
      <c r="E753" s="903"/>
      <c r="R753" s="904"/>
      <c r="S753" s="904"/>
      <c r="T753" s="904"/>
      <c r="U753" s="904"/>
      <c r="V753" s="904"/>
      <c r="W753" s="904"/>
      <c r="X753" s="904"/>
      <c r="Y753" s="904"/>
    </row>
    <row r="754" spans="1:25" x14ac:dyDescent="0.2">
      <c r="A754" s="903"/>
      <c r="B754" s="903"/>
      <c r="C754" s="903"/>
      <c r="D754" s="903"/>
      <c r="E754" s="903"/>
      <c r="R754" s="904"/>
      <c r="S754" s="904"/>
      <c r="T754" s="904"/>
      <c r="U754" s="904"/>
      <c r="V754" s="904"/>
      <c r="W754" s="904"/>
      <c r="X754" s="904"/>
      <c r="Y754" s="904"/>
    </row>
    <row r="755" spans="1:25" x14ac:dyDescent="0.2">
      <c r="A755" s="903"/>
      <c r="B755" s="903"/>
      <c r="C755" s="903"/>
      <c r="D755" s="903"/>
      <c r="E755" s="903"/>
      <c r="R755" s="904"/>
      <c r="S755" s="904"/>
      <c r="T755" s="904"/>
      <c r="U755" s="904"/>
      <c r="V755" s="904"/>
      <c r="W755" s="904"/>
      <c r="X755" s="904"/>
      <c r="Y755" s="904"/>
    </row>
    <row r="756" spans="1:25" x14ac:dyDescent="0.2">
      <c r="A756" s="903"/>
      <c r="B756" s="903"/>
      <c r="C756" s="903"/>
      <c r="D756" s="903"/>
      <c r="E756" s="903"/>
      <c r="R756" s="904"/>
      <c r="S756" s="904"/>
      <c r="T756" s="904"/>
      <c r="U756" s="904"/>
      <c r="V756" s="904"/>
      <c r="W756" s="904"/>
      <c r="X756" s="904"/>
      <c r="Y756" s="904"/>
    </row>
    <row r="757" spans="1:25" x14ac:dyDescent="0.2">
      <c r="A757" s="903"/>
      <c r="B757" s="903"/>
      <c r="C757" s="903"/>
      <c r="D757" s="903"/>
      <c r="E757" s="903"/>
      <c r="R757" s="904"/>
      <c r="S757" s="904"/>
      <c r="T757" s="904"/>
      <c r="U757" s="904"/>
      <c r="V757" s="904"/>
      <c r="W757" s="904"/>
      <c r="X757" s="904"/>
      <c r="Y757" s="904"/>
    </row>
    <row r="758" spans="1:25" x14ac:dyDescent="0.2">
      <c r="A758" s="903"/>
      <c r="B758" s="903"/>
      <c r="C758" s="903"/>
      <c r="D758" s="903"/>
      <c r="E758" s="903"/>
      <c r="R758" s="904"/>
      <c r="S758" s="904"/>
      <c r="T758" s="904"/>
      <c r="U758" s="904"/>
      <c r="V758" s="904"/>
      <c r="W758" s="904"/>
      <c r="X758" s="904"/>
      <c r="Y758" s="904"/>
    </row>
    <row r="759" spans="1:25" x14ac:dyDescent="0.2">
      <c r="A759" s="903"/>
      <c r="B759" s="903"/>
      <c r="C759" s="903"/>
      <c r="D759" s="903"/>
      <c r="E759" s="903"/>
      <c r="R759" s="904"/>
      <c r="S759" s="904"/>
      <c r="T759" s="904"/>
      <c r="U759" s="904"/>
      <c r="V759" s="904"/>
      <c r="W759" s="904"/>
      <c r="X759" s="904"/>
      <c r="Y759" s="904"/>
    </row>
    <row r="760" spans="1:25" x14ac:dyDescent="0.2">
      <c r="A760" s="903"/>
      <c r="B760" s="903"/>
      <c r="C760" s="903"/>
      <c r="D760" s="903"/>
      <c r="E760" s="903"/>
      <c r="R760" s="904"/>
      <c r="S760" s="904"/>
      <c r="T760" s="904"/>
      <c r="U760" s="904"/>
      <c r="V760" s="904"/>
      <c r="W760" s="904"/>
      <c r="X760" s="904"/>
      <c r="Y760" s="904"/>
    </row>
    <row r="761" spans="1:25" x14ac:dyDescent="0.2">
      <c r="A761" s="903"/>
      <c r="B761" s="903"/>
      <c r="C761" s="903"/>
      <c r="D761" s="903"/>
      <c r="E761" s="903"/>
      <c r="R761" s="904"/>
      <c r="S761" s="904"/>
      <c r="T761" s="904"/>
      <c r="U761" s="904"/>
      <c r="V761" s="904"/>
      <c r="W761" s="904"/>
      <c r="X761" s="904"/>
      <c r="Y761" s="904"/>
    </row>
    <row r="762" spans="1:25" x14ac:dyDescent="0.2">
      <c r="A762" s="903"/>
      <c r="B762" s="903"/>
      <c r="C762" s="903"/>
      <c r="D762" s="903"/>
      <c r="E762" s="903"/>
      <c r="R762" s="904"/>
      <c r="S762" s="904"/>
      <c r="T762" s="904"/>
      <c r="U762" s="904"/>
      <c r="V762" s="904"/>
      <c r="W762" s="904"/>
      <c r="X762" s="904"/>
      <c r="Y762" s="904"/>
    </row>
    <row r="763" spans="1:25" x14ac:dyDescent="0.2">
      <c r="A763" s="903"/>
      <c r="B763" s="903"/>
      <c r="C763" s="903"/>
      <c r="D763" s="903"/>
      <c r="E763" s="903"/>
      <c r="R763" s="904"/>
      <c r="S763" s="904"/>
      <c r="T763" s="904"/>
      <c r="U763" s="904"/>
      <c r="V763" s="904"/>
      <c r="W763" s="904"/>
      <c r="X763" s="904"/>
      <c r="Y763" s="904"/>
    </row>
    <row r="764" spans="1:25" x14ac:dyDescent="0.2">
      <c r="A764" s="903"/>
      <c r="B764" s="903"/>
      <c r="C764" s="903"/>
      <c r="D764" s="903"/>
      <c r="E764" s="903"/>
      <c r="R764" s="904"/>
      <c r="S764" s="904"/>
      <c r="T764" s="904"/>
      <c r="U764" s="904"/>
      <c r="V764" s="904"/>
      <c r="W764" s="904"/>
      <c r="X764" s="904"/>
      <c r="Y764" s="904"/>
    </row>
    <row r="765" spans="1:25" x14ac:dyDescent="0.2">
      <c r="A765" s="903"/>
      <c r="B765" s="903"/>
      <c r="C765" s="903"/>
      <c r="D765" s="903"/>
      <c r="E765" s="903"/>
      <c r="R765" s="904"/>
      <c r="S765" s="904"/>
      <c r="T765" s="904"/>
      <c r="U765" s="904"/>
      <c r="V765" s="904"/>
      <c r="W765" s="904"/>
      <c r="X765" s="904"/>
      <c r="Y765" s="904"/>
    </row>
    <row r="766" spans="1:25" x14ac:dyDescent="0.2">
      <c r="A766" s="903"/>
      <c r="B766" s="903"/>
      <c r="C766" s="903"/>
      <c r="D766" s="903"/>
      <c r="E766" s="903"/>
      <c r="R766" s="904"/>
      <c r="S766" s="904"/>
      <c r="T766" s="904"/>
      <c r="U766" s="904"/>
      <c r="V766" s="904"/>
      <c r="W766" s="904"/>
      <c r="X766" s="904"/>
      <c r="Y766" s="904"/>
    </row>
    <row r="767" spans="1:25" x14ac:dyDescent="0.2">
      <c r="A767" s="903"/>
      <c r="B767" s="903"/>
      <c r="C767" s="903"/>
      <c r="D767" s="903"/>
      <c r="E767" s="903"/>
      <c r="R767" s="904"/>
      <c r="S767" s="904"/>
      <c r="T767" s="904"/>
      <c r="U767" s="904"/>
      <c r="V767" s="904"/>
      <c r="W767" s="904"/>
      <c r="X767" s="904"/>
      <c r="Y767" s="904"/>
    </row>
    <row r="768" spans="1:25" x14ac:dyDescent="0.2">
      <c r="A768" s="903"/>
      <c r="B768" s="903"/>
      <c r="C768" s="903"/>
      <c r="D768" s="903"/>
      <c r="E768" s="903"/>
      <c r="R768" s="904"/>
      <c r="S768" s="904"/>
      <c r="T768" s="904"/>
      <c r="U768" s="904"/>
      <c r="V768" s="904"/>
      <c r="W768" s="904"/>
      <c r="X768" s="904"/>
      <c r="Y768" s="904"/>
    </row>
    <row r="769" spans="1:25" x14ac:dyDescent="0.2">
      <c r="A769" s="903"/>
      <c r="B769" s="903"/>
      <c r="C769" s="903"/>
      <c r="D769" s="903"/>
      <c r="E769" s="903"/>
      <c r="R769" s="904"/>
      <c r="S769" s="904"/>
      <c r="T769" s="904"/>
      <c r="U769" s="904"/>
      <c r="V769" s="904"/>
      <c r="W769" s="904"/>
      <c r="X769" s="904"/>
      <c r="Y769" s="904"/>
    </row>
    <row r="770" spans="1:25" x14ac:dyDescent="0.2">
      <c r="A770" s="903"/>
      <c r="B770" s="903"/>
      <c r="C770" s="903"/>
      <c r="D770" s="903"/>
      <c r="E770" s="903"/>
      <c r="R770" s="904"/>
      <c r="S770" s="904"/>
      <c r="T770" s="904"/>
      <c r="U770" s="904"/>
      <c r="V770" s="904"/>
      <c r="W770" s="904"/>
      <c r="X770" s="904"/>
      <c r="Y770" s="904"/>
    </row>
    <row r="771" spans="1:25" x14ac:dyDescent="0.2">
      <c r="A771" s="903"/>
      <c r="B771" s="903"/>
      <c r="C771" s="903"/>
      <c r="D771" s="903"/>
      <c r="E771" s="903"/>
      <c r="R771" s="904"/>
      <c r="S771" s="904"/>
      <c r="T771" s="904"/>
      <c r="U771" s="904"/>
      <c r="V771" s="904"/>
      <c r="W771" s="904"/>
      <c r="X771" s="904"/>
      <c r="Y771" s="904"/>
    </row>
    <row r="772" spans="1:25" x14ac:dyDescent="0.2">
      <c r="A772" s="903"/>
      <c r="B772" s="903"/>
      <c r="C772" s="903"/>
      <c r="D772" s="903"/>
      <c r="E772" s="903"/>
      <c r="R772" s="904"/>
      <c r="S772" s="904"/>
      <c r="T772" s="904"/>
      <c r="U772" s="904"/>
      <c r="V772" s="904"/>
      <c r="W772" s="904"/>
      <c r="X772" s="904"/>
      <c r="Y772" s="904"/>
    </row>
    <row r="773" spans="1:25" x14ac:dyDescent="0.2">
      <c r="A773" s="903"/>
      <c r="B773" s="903"/>
      <c r="C773" s="903"/>
      <c r="D773" s="903"/>
      <c r="E773" s="903"/>
      <c r="R773" s="904"/>
      <c r="S773" s="904"/>
      <c r="T773" s="904"/>
      <c r="U773" s="904"/>
      <c r="V773" s="904"/>
      <c r="W773" s="904"/>
      <c r="X773" s="904"/>
      <c r="Y773" s="904"/>
    </row>
    <row r="774" spans="1:25" x14ac:dyDescent="0.2">
      <c r="A774" s="903"/>
      <c r="B774" s="903"/>
      <c r="C774" s="903"/>
      <c r="D774" s="903"/>
      <c r="E774" s="903"/>
      <c r="R774" s="904"/>
      <c r="S774" s="904"/>
      <c r="T774" s="904"/>
      <c r="U774" s="904"/>
      <c r="V774" s="904"/>
      <c r="W774" s="904"/>
      <c r="X774" s="904"/>
      <c r="Y774" s="904"/>
    </row>
    <row r="775" spans="1:25" x14ac:dyDescent="0.2">
      <c r="A775" s="903"/>
      <c r="B775" s="903"/>
      <c r="C775" s="903"/>
      <c r="D775" s="903"/>
      <c r="E775" s="903"/>
      <c r="R775" s="904"/>
      <c r="S775" s="904"/>
      <c r="T775" s="904"/>
      <c r="U775" s="904"/>
      <c r="V775" s="904"/>
      <c r="W775" s="904"/>
      <c r="X775" s="904"/>
      <c r="Y775" s="904"/>
    </row>
    <row r="776" spans="1:25" x14ac:dyDescent="0.2">
      <c r="A776" s="903"/>
      <c r="B776" s="903"/>
      <c r="C776" s="903"/>
      <c r="D776" s="903"/>
      <c r="E776" s="903"/>
      <c r="R776" s="904"/>
      <c r="S776" s="904"/>
      <c r="T776" s="904"/>
      <c r="U776" s="904"/>
      <c r="V776" s="904"/>
      <c r="W776" s="904"/>
      <c r="X776" s="904"/>
      <c r="Y776" s="904"/>
    </row>
    <row r="777" spans="1:25" x14ac:dyDescent="0.2">
      <c r="A777" s="903"/>
      <c r="B777" s="903"/>
      <c r="C777" s="903"/>
      <c r="D777" s="903"/>
      <c r="E777" s="903"/>
      <c r="R777" s="904"/>
      <c r="S777" s="904"/>
      <c r="T777" s="904"/>
      <c r="U777" s="904"/>
      <c r="V777" s="904"/>
      <c r="W777" s="904"/>
      <c r="X777" s="904"/>
      <c r="Y777" s="904"/>
    </row>
    <row r="778" spans="1:25" x14ac:dyDescent="0.2">
      <c r="A778" s="903"/>
      <c r="B778" s="903"/>
      <c r="C778" s="903"/>
      <c r="D778" s="903"/>
      <c r="E778" s="903"/>
      <c r="R778" s="904"/>
      <c r="S778" s="904"/>
      <c r="T778" s="904"/>
      <c r="U778" s="904"/>
      <c r="V778" s="904"/>
      <c r="W778" s="904"/>
      <c r="X778" s="904"/>
      <c r="Y778" s="904"/>
    </row>
    <row r="779" spans="1:25" x14ac:dyDescent="0.2">
      <c r="A779" s="903"/>
      <c r="B779" s="903"/>
      <c r="C779" s="903"/>
      <c r="D779" s="903"/>
      <c r="E779" s="903"/>
      <c r="R779" s="904"/>
      <c r="S779" s="904"/>
      <c r="T779" s="904"/>
      <c r="U779" s="904"/>
      <c r="V779" s="904"/>
      <c r="W779" s="904"/>
      <c r="X779" s="904"/>
      <c r="Y779" s="904"/>
    </row>
    <row r="780" spans="1:25" x14ac:dyDescent="0.2">
      <c r="A780" s="903"/>
      <c r="B780" s="903"/>
      <c r="C780" s="903"/>
      <c r="D780" s="903"/>
      <c r="E780" s="903"/>
      <c r="R780" s="904"/>
      <c r="S780" s="904"/>
      <c r="T780" s="904"/>
      <c r="U780" s="904"/>
      <c r="V780" s="904"/>
      <c r="W780" s="904"/>
      <c r="X780" s="904"/>
      <c r="Y780" s="904"/>
    </row>
    <row r="781" spans="1:25" x14ac:dyDescent="0.2">
      <c r="A781" s="903"/>
      <c r="B781" s="903"/>
      <c r="C781" s="903"/>
      <c r="D781" s="903"/>
      <c r="E781" s="903"/>
      <c r="R781" s="904"/>
      <c r="S781" s="904"/>
      <c r="T781" s="904"/>
      <c r="U781" s="904"/>
      <c r="V781" s="904"/>
      <c r="W781" s="904"/>
      <c r="X781" s="904"/>
      <c r="Y781" s="904"/>
    </row>
    <row r="782" spans="1:25" x14ac:dyDescent="0.2">
      <c r="A782" s="903"/>
      <c r="B782" s="903"/>
      <c r="C782" s="903"/>
      <c r="D782" s="903"/>
      <c r="E782" s="903"/>
      <c r="R782" s="904"/>
      <c r="S782" s="904"/>
      <c r="T782" s="904"/>
      <c r="U782" s="904"/>
      <c r="V782" s="904"/>
      <c r="W782" s="904"/>
      <c r="X782" s="904"/>
      <c r="Y782" s="904"/>
    </row>
    <row r="783" spans="1:25" x14ac:dyDescent="0.2">
      <c r="A783" s="903"/>
      <c r="B783" s="903"/>
      <c r="C783" s="903"/>
      <c r="D783" s="903"/>
      <c r="E783" s="903"/>
      <c r="R783" s="904"/>
      <c r="S783" s="904"/>
      <c r="T783" s="904"/>
      <c r="U783" s="904"/>
      <c r="V783" s="904"/>
      <c r="W783" s="904"/>
      <c r="X783" s="904"/>
      <c r="Y783" s="904"/>
    </row>
    <row r="784" spans="1:25" x14ac:dyDescent="0.2">
      <c r="A784" s="903"/>
      <c r="B784" s="903"/>
      <c r="C784" s="903"/>
      <c r="D784" s="903"/>
      <c r="E784" s="903"/>
      <c r="R784" s="904"/>
      <c r="S784" s="904"/>
      <c r="T784" s="904"/>
      <c r="U784" s="904"/>
      <c r="V784" s="904"/>
      <c r="W784" s="904"/>
      <c r="X784" s="904"/>
      <c r="Y784" s="904"/>
    </row>
    <row r="785" spans="1:25" x14ac:dyDescent="0.2">
      <c r="A785" s="903"/>
      <c r="B785" s="903"/>
      <c r="C785" s="903"/>
      <c r="D785" s="903"/>
      <c r="E785" s="903"/>
      <c r="R785" s="904"/>
      <c r="S785" s="904"/>
      <c r="T785" s="904"/>
      <c r="U785" s="904"/>
      <c r="V785" s="904"/>
      <c r="W785" s="904"/>
      <c r="X785" s="904"/>
      <c r="Y785" s="904"/>
    </row>
    <row r="786" spans="1:25" x14ac:dyDescent="0.2">
      <c r="A786" s="903"/>
      <c r="B786" s="903"/>
      <c r="C786" s="903"/>
      <c r="D786" s="903"/>
      <c r="E786" s="903"/>
      <c r="R786" s="904"/>
      <c r="S786" s="904"/>
      <c r="T786" s="904"/>
      <c r="U786" s="904"/>
      <c r="V786" s="904"/>
      <c r="W786" s="904"/>
      <c r="X786" s="904"/>
      <c r="Y786" s="904"/>
    </row>
    <row r="787" spans="1:25" x14ac:dyDescent="0.2">
      <c r="A787" s="903"/>
      <c r="B787" s="903"/>
      <c r="C787" s="903"/>
      <c r="D787" s="903"/>
      <c r="E787" s="903"/>
      <c r="R787" s="904"/>
      <c r="S787" s="904"/>
      <c r="T787" s="904"/>
      <c r="U787" s="904"/>
      <c r="V787" s="904"/>
      <c r="W787" s="904"/>
      <c r="X787" s="904"/>
      <c r="Y787" s="904"/>
    </row>
    <row r="788" spans="1:25" x14ac:dyDescent="0.2">
      <c r="A788" s="903"/>
      <c r="B788" s="903"/>
      <c r="C788" s="903"/>
      <c r="D788" s="903"/>
      <c r="E788" s="903"/>
      <c r="R788" s="904"/>
      <c r="S788" s="904"/>
      <c r="T788" s="904"/>
      <c r="U788" s="904"/>
      <c r="V788" s="904"/>
      <c r="W788" s="904"/>
      <c r="X788" s="904"/>
      <c r="Y788" s="904"/>
    </row>
    <row r="789" spans="1:25" x14ac:dyDescent="0.2">
      <c r="A789" s="903"/>
      <c r="B789" s="903"/>
      <c r="C789" s="903"/>
      <c r="D789" s="903"/>
      <c r="E789" s="903"/>
      <c r="R789" s="904"/>
      <c r="S789" s="904"/>
      <c r="T789" s="904"/>
      <c r="U789" s="904"/>
      <c r="V789" s="904"/>
      <c r="W789" s="904"/>
      <c r="X789" s="904"/>
      <c r="Y789" s="904"/>
    </row>
    <row r="790" spans="1:25" x14ac:dyDescent="0.2">
      <c r="A790" s="903"/>
      <c r="B790" s="903"/>
      <c r="C790" s="903"/>
      <c r="D790" s="903"/>
      <c r="E790" s="903"/>
      <c r="R790" s="904"/>
      <c r="S790" s="904"/>
      <c r="T790" s="904"/>
      <c r="U790" s="904"/>
      <c r="V790" s="904"/>
      <c r="W790" s="904"/>
      <c r="X790" s="904"/>
      <c r="Y790" s="904"/>
    </row>
    <row r="791" spans="1:25" x14ac:dyDescent="0.2">
      <c r="A791" s="903"/>
      <c r="B791" s="903"/>
      <c r="C791" s="903"/>
      <c r="D791" s="903"/>
      <c r="E791" s="903"/>
      <c r="R791" s="904"/>
      <c r="S791" s="904"/>
      <c r="T791" s="904"/>
      <c r="U791" s="904"/>
      <c r="V791" s="904"/>
      <c r="W791" s="904"/>
      <c r="X791" s="904"/>
      <c r="Y791" s="904"/>
    </row>
    <row r="792" spans="1:25" x14ac:dyDescent="0.2">
      <c r="A792" s="903"/>
      <c r="B792" s="903"/>
      <c r="C792" s="903"/>
      <c r="D792" s="903"/>
      <c r="E792" s="903"/>
      <c r="R792" s="904"/>
      <c r="S792" s="904"/>
      <c r="T792" s="904"/>
      <c r="U792" s="904"/>
      <c r="V792" s="904"/>
      <c r="W792" s="904"/>
      <c r="X792" s="904"/>
      <c r="Y792" s="904"/>
    </row>
    <row r="793" spans="1:25" x14ac:dyDescent="0.2">
      <c r="A793" s="903"/>
      <c r="B793" s="903"/>
      <c r="C793" s="903"/>
      <c r="D793" s="903"/>
      <c r="E793" s="903"/>
      <c r="R793" s="904"/>
      <c r="S793" s="904"/>
      <c r="T793" s="904"/>
      <c r="U793" s="904"/>
      <c r="V793" s="904"/>
      <c r="W793" s="904"/>
      <c r="X793" s="904"/>
      <c r="Y793" s="904"/>
    </row>
    <row r="794" spans="1:25" x14ac:dyDescent="0.2">
      <c r="A794" s="903"/>
      <c r="B794" s="903"/>
      <c r="C794" s="903"/>
      <c r="D794" s="903"/>
      <c r="E794" s="903"/>
      <c r="R794" s="904"/>
      <c r="S794" s="904"/>
      <c r="T794" s="904"/>
      <c r="U794" s="904"/>
      <c r="V794" s="904"/>
      <c r="W794" s="904"/>
      <c r="X794" s="904"/>
      <c r="Y794" s="904"/>
    </row>
    <row r="795" spans="1:25" x14ac:dyDescent="0.2">
      <c r="A795" s="903"/>
      <c r="B795" s="903"/>
      <c r="C795" s="903"/>
      <c r="D795" s="903"/>
      <c r="E795" s="903"/>
      <c r="R795" s="904"/>
      <c r="S795" s="904"/>
      <c r="T795" s="904"/>
      <c r="U795" s="904"/>
      <c r="V795" s="904"/>
      <c r="W795" s="904"/>
      <c r="X795" s="904"/>
      <c r="Y795" s="904"/>
    </row>
    <row r="796" spans="1:25" x14ac:dyDescent="0.2">
      <c r="A796" s="903"/>
      <c r="B796" s="903"/>
      <c r="C796" s="903"/>
      <c r="D796" s="903"/>
      <c r="E796" s="903"/>
      <c r="R796" s="904"/>
      <c r="S796" s="904"/>
      <c r="T796" s="904"/>
      <c r="U796" s="904"/>
      <c r="V796" s="904"/>
      <c r="W796" s="904"/>
      <c r="X796" s="904"/>
      <c r="Y796" s="904"/>
    </row>
    <row r="797" spans="1:25" x14ac:dyDescent="0.2">
      <c r="A797" s="903"/>
      <c r="B797" s="903"/>
      <c r="C797" s="903"/>
      <c r="D797" s="903"/>
      <c r="E797" s="903"/>
      <c r="R797" s="904"/>
      <c r="S797" s="904"/>
      <c r="T797" s="904"/>
      <c r="U797" s="904"/>
      <c r="V797" s="904"/>
      <c r="W797" s="904"/>
      <c r="X797" s="904"/>
      <c r="Y797" s="904"/>
    </row>
    <row r="798" spans="1:25" x14ac:dyDescent="0.2">
      <c r="A798" s="903"/>
      <c r="B798" s="903"/>
      <c r="C798" s="903"/>
      <c r="D798" s="903"/>
      <c r="E798" s="903"/>
      <c r="R798" s="904"/>
      <c r="S798" s="904"/>
      <c r="T798" s="904"/>
      <c r="U798" s="904"/>
      <c r="V798" s="904"/>
      <c r="W798" s="904"/>
      <c r="X798" s="904"/>
      <c r="Y798" s="904"/>
    </row>
    <row r="799" spans="1:25" x14ac:dyDescent="0.2">
      <c r="A799" s="903"/>
      <c r="B799" s="903"/>
      <c r="C799" s="903"/>
      <c r="D799" s="903"/>
      <c r="E799" s="903"/>
      <c r="R799" s="904"/>
      <c r="S799" s="904"/>
      <c r="T799" s="904"/>
      <c r="U799" s="904"/>
      <c r="V799" s="904"/>
      <c r="W799" s="904"/>
      <c r="X799" s="904"/>
      <c r="Y799" s="904"/>
    </row>
    <row r="800" spans="1:25" x14ac:dyDescent="0.2">
      <c r="A800" s="903"/>
      <c r="B800" s="903"/>
      <c r="C800" s="903"/>
      <c r="D800" s="903"/>
      <c r="E800" s="903"/>
      <c r="R800" s="904"/>
      <c r="S800" s="904"/>
      <c r="T800" s="904"/>
      <c r="U800" s="904"/>
      <c r="V800" s="904"/>
      <c r="W800" s="904"/>
      <c r="X800" s="904"/>
      <c r="Y800" s="904"/>
    </row>
    <row r="801" spans="1:25" x14ac:dyDescent="0.2">
      <c r="A801" s="903"/>
      <c r="B801" s="903"/>
      <c r="C801" s="903"/>
      <c r="D801" s="903"/>
      <c r="E801" s="903"/>
      <c r="R801" s="904"/>
      <c r="S801" s="904"/>
      <c r="T801" s="904"/>
      <c r="U801" s="904"/>
      <c r="V801" s="904"/>
      <c r="W801" s="904"/>
      <c r="X801" s="904"/>
      <c r="Y801" s="904"/>
    </row>
    <row r="802" spans="1:25" x14ac:dyDescent="0.2">
      <c r="A802" s="903"/>
      <c r="B802" s="903"/>
      <c r="C802" s="903"/>
      <c r="D802" s="903"/>
      <c r="E802" s="903"/>
      <c r="R802" s="904"/>
      <c r="S802" s="904"/>
      <c r="T802" s="904"/>
      <c r="U802" s="904"/>
      <c r="V802" s="904"/>
      <c r="W802" s="904"/>
      <c r="X802" s="904"/>
      <c r="Y802" s="904"/>
    </row>
    <row r="803" spans="1:25" x14ac:dyDescent="0.2">
      <c r="A803" s="903"/>
      <c r="B803" s="903"/>
      <c r="C803" s="903"/>
      <c r="D803" s="903"/>
      <c r="E803" s="903"/>
      <c r="R803" s="904"/>
      <c r="S803" s="904"/>
      <c r="T803" s="904"/>
      <c r="U803" s="904"/>
      <c r="V803" s="904"/>
      <c r="W803" s="904"/>
      <c r="X803" s="904"/>
      <c r="Y803" s="904"/>
    </row>
    <row r="804" spans="1:25" x14ac:dyDescent="0.2">
      <c r="A804" s="903"/>
      <c r="B804" s="903"/>
      <c r="C804" s="903"/>
      <c r="D804" s="903"/>
      <c r="E804" s="903"/>
      <c r="R804" s="904"/>
      <c r="S804" s="904"/>
      <c r="T804" s="904"/>
      <c r="U804" s="904"/>
      <c r="V804" s="904"/>
      <c r="W804" s="904"/>
      <c r="X804" s="904"/>
      <c r="Y804" s="904"/>
    </row>
    <row r="805" spans="1:25" x14ac:dyDescent="0.2">
      <c r="A805" s="903"/>
      <c r="B805" s="903"/>
      <c r="C805" s="903"/>
      <c r="D805" s="903"/>
      <c r="E805" s="903"/>
      <c r="R805" s="904"/>
      <c r="S805" s="904"/>
      <c r="T805" s="904"/>
      <c r="U805" s="904"/>
      <c r="V805" s="904"/>
      <c r="W805" s="904"/>
      <c r="X805" s="904"/>
      <c r="Y805" s="904"/>
    </row>
    <row r="806" spans="1:25" x14ac:dyDescent="0.2">
      <c r="A806" s="903"/>
      <c r="B806" s="903"/>
      <c r="C806" s="903"/>
      <c r="D806" s="903"/>
      <c r="E806" s="903"/>
      <c r="R806" s="904"/>
      <c r="S806" s="904"/>
      <c r="T806" s="904"/>
      <c r="U806" s="904"/>
      <c r="V806" s="904"/>
      <c r="W806" s="904"/>
      <c r="X806" s="904"/>
      <c r="Y806" s="904"/>
    </row>
    <row r="807" spans="1:25" x14ac:dyDescent="0.2">
      <c r="A807" s="903"/>
      <c r="B807" s="903"/>
      <c r="C807" s="903"/>
      <c r="D807" s="903"/>
      <c r="E807" s="903"/>
      <c r="R807" s="904"/>
      <c r="S807" s="904"/>
      <c r="T807" s="904"/>
      <c r="U807" s="904"/>
      <c r="V807" s="904"/>
      <c r="W807" s="904"/>
      <c r="X807" s="904"/>
      <c r="Y807" s="904"/>
    </row>
    <row r="808" spans="1:25" x14ac:dyDescent="0.2">
      <c r="A808" s="903"/>
      <c r="B808" s="903"/>
      <c r="C808" s="903"/>
      <c r="D808" s="903"/>
      <c r="E808" s="903"/>
      <c r="R808" s="904"/>
      <c r="S808" s="904"/>
      <c r="T808" s="904"/>
      <c r="U808" s="904"/>
      <c r="V808" s="904"/>
      <c r="W808" s="904"/>
      <c r="X808" s="904"/>
      <c r="Y808" s="904"/>
    </row>
    <row r="809" spans="1:25" x14ac:dyDescent="0.2">
      <c r="A809" s="903"/>
      <c r="B809" s="903"/>
      <c r="C809" s="903"/>
      <c r="D809" s="903"/>
      <c r="E809" s="903"/>
      <c r="R809" s="904"/>
      <c r="S809" s="904"/>
      <c r="T809" s="904"/>
      <c r="U809" s="904"/>
      <c r="V809" s="904"/>
      <c r="W809" s="904"/>
      <c r="X809" s="904"/>
      <c r="Y809" s="904"/>
    </row>
    <row r="810" spans="1:25" x14ac:dyDescent="0.2">
      <c r="A810" s="903"/>
      <c r="B810" s="903"/>
      <c r="C810" s="903"/>
      <c r="D810" s="903"/>
      <c r="E810" s="903"/>
      <c r="R810" s="904"/>
      <c r="S810" s="904"/>
      <c r="T810" s="904"/>
      <c r="U810" s="904"/>
      <c r="V810" s="904"/>
      <c r="W810" s="904"/>
      <c r="X810" s="904"/>
      <c r="Y810" s="904"/>
    </row>
    <row r="811" spans="1:25" x14ac:dyDescent="0.2">
      <c r="A811" s="903"/>
      <c r="B811" s="903"/>
      <c r="C811" s="903"/>
      <c r="D811" s="903"/>
      <c r="E811" s="903"/>
      <c r="R811" s="904"/>
      <c r="S811" s="904"/>
      <c r="T811" s="904"/>
      <c r="U811" s="904"/>
      <c r="V811" s="904"/>
      <c r="W811" s="904"/>
      <c r="X811" s="904"/>
      <c r="Y811" s="904"/>
    </row>
    <row r="812" spans="1:25" x14ac:dyDescent="0.2">
      <c r="A812" s="903"/>
      <c r="B812" s="903"/>
      <c r="C812" s="903"/>
      <c r="D812" s="903"/>
      <c r="E812" s="903"/>
      <c r="R812" s="904"/>
      <c r="S812" s="904"/>
      <c r="T812" s="904"/>
      <c r="U812" s="904"/>
      <c r="V812" s="904"/>
      <c r="W812" s="904"/>
      <c r="X812" s="904"/>
      <c r="Y812" s="904"/>
    </row>
    <row r="813" spans="1:25" x14ac:dyDescent="0.2">
      <c r="A813" s="903"/>
      <c r="B813" s="903"/>
      <c r="C813" s="903"/>
      <c r="D813" s="903"/>
      <c r="E813" s="903"/>
      <c r="R813" s="904"/>
      <c r="S813" s="904"/>
      <c r="T813" s="904"/>
      <c r="U813" s="904"/>
      <c r="V813" s="904"/>
      <c r="W813" s="904"/>
      <c r="X813" s="904"/>
      <c r="Y813" s="904"/>
    </row>
    <row r="814" spans="1:25" x14ac:dyDescent="0.2">
      <c r="A814" s="903"/>
      <c r="B814" s="903"/>
      <c r="C814" s="903"/>
      <c r="D814" s="903"/>
      <c r="E814" s="903"/>
      <c r="R814" s="904"/>
      <c r="S814" s="904"/>
      <c r="T814" s="904"/>
      <c r="U814" s="904"/>
      <c r="V814" s="904"/>
      <c r="W814" s="904"/>
      <c r="X814" s="904"/>
      <c r="Y814" s="904"/>
    </row>
    <row r="815" spans="1:25" x14ac:dyDescent="0.2">
      <c r="A815" s="903"/>
      <c r="B815" s="903"/>
      <c r="C815" s="903"/>
      <c r="D815" s="903"/>
      <c r="E815" s="903"/>
      <c r="R815" s="904"/>
      <c r="S815" s="904"/>
      <c r="T815" s="904"/>
      <c r="U815" s="904"/>
      <c r="V815" s="904"/>
      <c r="W815" s="904"/>
      <c r="X815" s="904"/>
      <c r="Y815" s="904"/>
    </row>
    <row r="816" spans="1:25" x14ac:dyDescent="0.2">
      <c r="A816" s="903"/>
      <c r="B816" s="903"/>
      <c r="C816" s="903"/>
      <c r="D816" s="903"/>
      <c r="E816" s="903"/>
      <c r="R816" s="904"/>
      <c r="S816" s="904"/>
      <c r="T816" s="904"/>
      <c r="U816" s="904"/>
      <c r="V816" s="904"/>
      <c r="W816" s="904"/>
      <c r="X816" s="904"/>
      <c r="Y816" s="904"/>
    </row>
    <row r="817" spans="1:25" x14ac:dyDescent="0.2">
      <c r="A817" s="903"/>
      <c r="B817" s="903"/>
      <c r="C817" s="903"/>
      <c r="D817" s="903"/>
      <c r="E817" s="903"/>
      <c r="R817" s="904"/>
      <c r="S817" s="904"/>
      <c r="T817" s="904"/>
      <c r="U817" s="904"/>
      <c r="V817" s="904"/>
      <c r="W817" s="904"/>
      <c r="X817" s="904"/>
      <c r="Y817" s="904"/>
    </row>
    <row r="818" spans="1:25" x14ac:dyDescent="0.2">
      <c r="A818" s="903"/>
      <c r="B818" s="903"/>
      <c r="C818" s="903"/>
      <c r="D818" s="903"/>
      <c r="E818" s="903"/>
      <c r="R818" s="904"/>
      <c r="S818" s="904"/>
      <c r="T818" s="904"/>
      <c r="U818" s="904"/>
      <c r="V818" s="904"/>
      <c r="W818" s="904"/>
      <c r="X818" s="904"/>
      <c r="Y818" s="904"/>
    </row>
    <row r="819" spans="1:25" x14ac:dyDescent="0.2">
      <c r="A819" s="903"/>
      <c r="B819" s="903"/>
      <c r="C819" s="903"/>
      <c r="D819" s="903"/>
      <c r="E819" s="903"/>
      <c r="R819" s="904"/>
      <c r="S819" s="904"/>
      <c r="T819" s="904"/>
      <c r="U819" s="904"/>
      <c r="V819" s="904"/>
      <c r="W819" s="904"/>
      <c r="X819" s="904"/>
      <c r="Y819" s="904"/>
    </row>
    <row r="820" spans="1:25" x14ac:dyDescent="0.2">
      <c r="A820" s="903"/>
      <c r="B820" s="903"/>
      <c r="C820" s="903"/>
      <c r="D820" s="903"/>
      <c r="E820" s="903"/>
      <c r="R820" s="904"/>
      <c r="S820" s="904"/>
      <c r="T820" s="904"/>
      <c r="U820" s="904"/>
      <c r="V820" s="904"/>
      <c r="W820" s="904"/>
      <c r="X820" s="904"/>
      <c r="Y820" s="904"/>
    </row>
    <row r="821" spans="1:25" x14ac:dyDescent="0.2">
      <c r="A821" s="903"/>
      <c r="B821" s="903"/>
      <c r="C821" s="903"/>
      <c r="D821" s="903"/>
      <c r="E821" s="903"/>
      <c r="R821" s="904"/>
      <c r="S821" s="904"/>
      <c r="T821" s="904"/>
      <c r="U821" s="904"/>
      <c r="V821" s="904"/>
      <c r="W821" s="904"/>
      <c r="X821" s="904"/>
      <c r="Y821" s="904"/>
    </row>
    <row r="822" spans="1:25" x14ac:dyDescent="0.2">
      <c r="A822" s="903"/>
      <c r="B822" s="903"/>
      <c r="C822" s="903"/>
      <c r="D822" s="903"/>
      <c r="E822" s="903"/>
      <c r="R822" s="904"/>
      <c r="S822" s="904"/>
      <c r="T822" s="904"/>
      <c r="U822" s="904"/>
      <c r="V822" s="904"/>
      <c r="W822" s="904"/>
      <c r="X822" s="904"/>
      <c r="Y822" s="904"/>
    </row>
    <row r="823" spans="1:25" x14ac:dyDescent="0.2">
      <c r="A823" s="903"/>
      <c r="B823" s="903"/>
      <c r="C823" s="903"/>
      <c r="D823" s="903"/>
      <c r="E823" s="903"/>
      <c r="R823" s="904"/>
      <c r="S823" s="904"/>
      <c r="T823" s="904"/>
      <c r="U823" s="904"/>
      <c r="V823" s="904"/>
      <c r="W823" s="904"/>
      <c r="X823" s="904"/>
      <c r="Y823" s="904"/>
    </row>
    <row r="824" spans="1:25" x14ac:dyDescent="0.2">
      <c r="A824" s="903"/>
      <c r="B824" s="903"/>
      <c r="C824" s="903"/>
      <c r="D824" s="903"/>
      <c r="E824" s="903"/>
      <c r="R824" s="904"/>
      <c r="S824" s="904"/>
      <c r="T824" s="904"/>
      <c r="U824" s="904"/>
      <c r="V824" s="904"/>
      <c r="W824" s="904"/>
      <c r="X824" s="904"/>
      <c r="Y824" s="904"/>
    </row>
    <row r="825" spans="1:25" x14ac:dyDescent="0.2">
      <c r="A825" s="903"/>
      <c r="B825" s="903"/>
      <c r="C825" s="903"/>
      <c r="D825" s="903"/>
      <c r="E825" s="903"/>
      <c r="R825" s="904"/>
      <c r="S825" s="904"/>
      <c r="T825" s="904"/>
      <c r="U825" s="904"/>
      <c r="V825" s="904"/>
      <c r="W825" s="904"/>
      <c r="X825" s="904"/>
      <c r="Y825" s="904"/>
    </row>
    <row r="826" spans="1:25" x14ac:dyDescent="0.2">
      <c r="A826" s="903"/>
      <c r="B826" s="903"/>
      <c r="C826" s="903"/>
      <c r="D826" s="903"/>
      <c r="E826" s="903"/>
      <c r="R826" s="904"/>
      <c r="S826" s="904"/>
      <c r="T826" s="904"/>
      <c r="U826" s="904"/>
      <c r="V826" s="904"/>
      <c r="W826" s="904"/>
      <c r="X826" s="904"/>
      <c r="Y826" s="904"/>
    </row>
    <row r="827" spans="1:25" x14ac:dyDescent="0.2">
      <c r="A827" s="903"/>
      <c r="B827" s="903"/>
      <c r="C827" s="903"/>
      <c r="D827" s="903"/>
      <c r="E827" s="903"/>
      <c r="R827" s="904"/>
      <c r="S827" s="904"/>
      <c r="T827" s="904"/>
      <c r="U827" s="904"/>
      <c r="V827" s="904"/>
      <c r="W827" s="904"/>
      <c r="X827" s="904"/>
      <c r="Y827" s="904"/>
    </row>
    <row r="828" spans="1:25" x14ac:dyDescent="0.2">
      <c r="A828" s="903"/>
      <c r="B828" s="903"/>
      <c r="C828" s="903"/>
      <c r="D828" s="903"/>
      <c r="E828" s="903"/>
      <c r="R828" s="904"/>
      <c r="S828" s="904"/>
      <c r="T828" s="904"/>
      <c r="U828" s="904"/>
      <c r="V828" s="904"/>
      <c r="W828" s="904"/>
      <c r="X828" s="904"/>
      <c r="Y828" s="904"/>
    </row>
    <row r="829" spans="1:25" x14ac:dyDescent="0.2">
      <c r="A829" s="903"/>
      <c r="B829" s="903"/>
      <c r="C829" s="903"/>
      <c r="D829" s="903"/>
      <c r="E829" s="903"/>
      <c r="R829" s="904"/>
      <c r="S829" s="904"/>
      <c r="T829" s="904"/>
      <c r="U829" s="904"/>
      <c r="V829" s="904"/>
      <c r="W829" s="904"/>
      <c r="X829" s="904"/>
      <c r="Y829" s="904"/>
    </row>
    <row r="830" spans="1:25" x14ac:dyDescent="0.2">
      <c r="A830" s="903"/>
      <c r="B830" s="903"/>
      <c r="C830" s="903"/>
      <c r="D830" s="903"/>
      <c r="E830" s="903"/>
      <c r="R830" s="904"/>
      <c r="S830" s="904"/>
      <c r="T830" s="904"/>
      <c r="U830" s="904"/>
      <c r="V830" s="904"/>
      <c r="W830" s="904"/>
      <c r="X830" s="904"/>
      <c r="Y830" s="904"/>
    </row>
    <row r="831" spans="1:25" x14ac:dyDescent="0.2">
      <c r="A831" s="903"/>
      <c r="B831" s="903"/>
      <c r="C831" s="903"/>
      <c r="D831" s="903"/>
      <c r="E831" s="903"/>
      <c r="R831" s="904"/>
      <c r="S831" s="904"/>
      <c r="T831" s="904"/>
      <c r="U831" s="904"/>
      <c r="V831" s="904"/>
      <c r="W831" s="904"/>
      <c r="X831" s="904"/>
      <c r="Y831" s="904"/>
    </row>
    <row r="832" spans="1:25" x14ac:dyDescent="0.2">
      <c r="A832" s="903"/>
      <c r="B832" s="903"/>
      <c r="C832" s="903"/>
      <c r="D832" s="903"/>
      <c r="E832" s="903"/>
      <c r="R832" s="904"/>
      <c r="S832" s="904"/>
      <c r="T832" s="904"/>
      <c r="U832" s="904"/>
      <c r="V832" s="904"/>
      <c r="W832" s="904"/>
      <c r="X832" s="904"/>
      <c r="Y832" s="904"/>
    </row>
    <row r="833" spans="1:25" x14ac:dyDescent="0.2">
      <c r="A833" s="903"/>
      <c r="B833" s="903"/>
      <c r="C833" s="903"/>
      <c r="D833" s="903"/>
      <c r="E833" s="903"/>
      <c r="R833" s="904"/>
      <c r="S833" s="904"/>
      <c r="T833" s="904"/>
      <c r="U833" s="904"/>
      <c r="V833" s="904"/>
      <c r="W833" s="904"/>
      <c r="X833" s="904"/>
      <c r="Y833" s="904"/>
    </row>
    <row r="834" spans="1:25" x14ac:dyDescent="0.2">
      <c r="A834" s="903"/>
      <c r="B834" s="903"/>
      <c r="C834" s="903"/>
      <c r="D834" s="903"/>
      <c r="E834" s="903"/>
      <c r="R834" s="904"/>
      <c r="S834" s="904"/>
      <c r="T834" s="904"/>
      <c r="U834" s="904"/>
      <c r="V834" s="904"/>
      <c r="W834" s="904"/>
      <c r="X834" s="904"/>
      <c r="Y834" s="904"/>
    </row>
    <row r="835" spans="1:25" x14ac:dyDescent="0.2">
      <c r="A835" s="903"/>
      <c r="B835" s="903"/>
      <c r="C835" s="903"/>
      <c r="D835" s="903"/>
      <c r="E835" s="903"/>
      <c r="R835" s="904"/>
      <c r="S835" s="904"/>
      <c r="T835" s="904"/>
      <c r="U835" s="904"/>
      <c r="V835" s="904"/>
      <c r="W835" s="904"/>
      <c r="X835" s="904"/>
      <c r="Y835" s="904"/>
    </row>
    <row r="836" spans="1:25" x14ac:dyDescent="0.2">
      <c r="A836" s="903"/>
      <c r="B836" s="903"/>
      <c r="C836" s="903"/>
      <c r="D836" s="903"/>
      <c r="E836" s="903"/>
      <c r="R836" s="904"/>
      <c r="S836" s="904"/>
      <c r="T836" s="904"/>
      <c r="U836" s="904"/>
      <c r="V836" s="904"/>
      <c r="W836" s="904"/>
      <c r="X836" s="904"/>
      <c r="Y836" s="904"/>
    </row>
    <row r="837" spans="1:25" x14ac:dyDescent="0.2">
      <c r="A837" s="903"/>
      <c r="B837" s="903"/>
      <c r="C837" s="903"/>
      <c r="D837" s="903"/>
      <c r="E837" s="903"/>
      <c r="R837" s="904"/>
      <c r="S837" s="904"/>
      <c r="T837" s="904"/>
      <c r="U837" s="904"/>
      <c r="V837" s="904"/>
      <c r="W837" s="904"/>
      <c r="X837" s="904"/>
      <c r="Y837" s="904"/>
    </row>
    <row r="838" spans="1:25" x14ac:dyDescent="0.2">
      <c r="A838" s="903"/>
      <c r="B838" s="903"/>
      <c r="C838" s="903"/>
      <c r="D838" s="903"/>
      <c r="E838" s="903"/>
      <c r="R838" s="904"/>
      <c r="S838" s="904"/>
      <c r="T838" s="904"/>
      <c r="U838" s="904"/>
      <c r="V838" s="904"/>
      <c r="W838" s="904"/>
      <c r="X838" s="904"/>
      <c r="Y838" s="904"/>
    </row>
    <row r="839" spans="1:25" x14ac:dyDescent="0.2">
      <c r="A839" s="903"/>
      <c r="B839" s="903"/>
      <c r="C839" s="903"/>
      <c r="D839" s="903"/>
      <c r="E839" s="903"/>
      <c r="R839" s="904"/>
      <c r="S839" s="904"/>
      <c r="T839" s="904"/>
      <c r="U839" s="904"/>
      <c r="V839" s="904"/>
      <c r="W839" s="904"/>
      <c r="X839" s="904"/>
      <c r="Y839" s="904"/>
    </row>
    <row r="840" spans="1:25" x14ac:dyDescent="0.2">
      <c r="A840" s="903"/>
      <c r="B840" s="903"/>
      <c r="C840" s="903"/>
      <c r="D840" s="903"/>
      <c r="E840" s="903"/>
      <c r="R840" s="904"/>
      <c r="S840" s="904"/>
      <c r="T840" s="904"/>
      <c r="U840" s="904"/>
      <c r="V840" s="904"/>
      <c r="W840" s="904"/>
      <c r="X840" s="904"/>
      <c r="Y840" s="904"/>
    </row>
    <row r="841" spans="1:25" x14ac:dyDescent="0.2">
      <c r="A841" s="903"/>
      <c r="B841" s="903"/>
      <c r="C841" s="903"/>
      <c r="D841" s="903"/>
      <c r="E841" s="903"/>
      <c r="R841" s="904"/>
      <c r="S841" s="904"/>
      <c r="T841" s="904"/>
      <c r="U841" s="904"/>
      <c r="V841" s="904"/>
      <c r="W841" s="904"/>
      <c r="X841" s="904"/>
      <c r="Y841" s="904"/>
    </row>
    <row r="842" spans="1:25" x14ac:dyDescent="0.2">
      <c r="A842" s="903"/>
      <c r="B842" s="903"/>
      <c r="C842" s="903"/>
      <c r="D842" s="903"/>
      <c r="E842" s="903"/>
      <c r="R842" s="904"/>
      <c r="S842" s="904"/>
      <c r="T842" s="904"/>
      <c r="U842" s="904"/>
      <c r="V842" s="904"/>
      <c r="W842" s="904"/>
      <c r="X842" s="904"/>
      <c r="Y842" s="904"/>
    </row>
    <row r="843" spans="1:25" x14ac:dyDescent="0.2">
      <c r="A843" s="903"/>
      <c r="B843" s="903"/>
      <c r="C843" s="903"/>
      <c r="D843" s="903"/>
      <c r="E843" s="903"/>
      <c r="R843" s="904"/>
      <c r="S843" s="904"/>
      <c r="T843" s="904"/>
      <c r="U843" s="904"/>
      <c r="V843" s="904"/>
      <c r="W843" s="904"/>
      <c r="X843" s="904"/>
      <c r="Y843" s="904"/>
    </row>
    <row r="844" spans="1:25" x14ac:dyDescent="0.2">
      <c r="A844" s="903"/>
      <c r="B844" s="903"/>
      <c r="C844" s="903"/>
      <c r="D844" s="903"/>
      <c r="E844" s="903"/>
      <c r="R844" s="904"/>
      <c r="S844" s="904"/>
      <c r="T844" s="904"/>
      <c r="U844" s="904"/>
      <c r="V844" s="904"/>
      <c r="W844" s="904"/>
      <c r="X844" s="904"/>
      <c r="Y844" s="904"/>
    </row>
    <row r="845" spans="1:25" x14ac:dyDescent="0.2">
      <c r="A845" s="903"/>
      <c r="B845" s="903"/>
      <c r="C845" s="903"/>
      <c r="D845" s="903"/>
      <c r="E845" s="903"/>
      <c r="R845" s="904"/>
      <c r="S845" s="904"/>
      <c r="T845" s="904"/>
      <c r="U845" s="904"/>
      <c r="V845" s="904"/>
      <c r="W845" s="904"/>
      <c r="X845" s="904"/>
      <c r="Y845" s="904"/>
    </row>
    <row r="846" spans="1:25" x14ac:dyDescent="0.2">
      <c r="A846" s="903"/>
      <c r="B846" s="903"/>
      <c r="C846" s="903"/>
      <c r="D846" s="903"/>
      <c r="E846" s="903"/>
      <c r="R846" s="904"/>
      <c r="S846" s="904"/>
      <c r="T846" s="904"/>
      <c r="U846" s="904"/>
      <c r="V846" s="904"/>
      <c r="W846" s="904"/>
      <c r="X846" s="904"/>
      <c r="Y846" s="904"/>
    </row>
    <row r="847" spans="1:25" x14ac:dyDescent="0.2">
      <c r="A847" s="903"/>
      <c r="B847" s="903"/>
      <c r="C847" s="903"/>
      <c r="D847" s="903"/>
      <c r="E847" s="903"/>
      <c r="R847" s="904"/>
      <c r="S847" s="904"/>
      <c r="T847" s="904"/>
      <c r="U847" s="904"/>
      <c r="V847" s="904"/>
      <c r="W847" s="904"/>
      <c r="X847" s="904"/>
      <c r="Y847" s="904"/>
    </row>
    <row r="848" spans="1:25" x14ac:dyDescent="0.2">
      <c r="A848" s="903"/>
      <c r="B848" s="903"/>
      <c r="C848" s="903"/>
      <c r="D848" s="903"/>
      <c r="E848" s="903"/>
      <c r="R848" s="904"/>
      <c r="S848" s="904"/>
      <c r="T848" s="904"/>
      <c r="U848" s="904"/>
      <c r="V848" s="904"/>
      <c r="W848" s="904"/>
      <c r="X848" s="904"/>
      <c r="Y848" s="904"/>
    </row>
    <row r="849" spans="1:25" x14ac:dyDescent="0.2">
      <c r="A849" s="903"/>
      <c r="B849" s="903"/>
      <c r="C849" s="903"/>
      <c r="D849" s="903"/>
      <c r="E849" s="903"/>
      <c r="R849" s="904"/>
      <c r="S849" s="904"/>
      <c r="T849" s="904"/>
      <c r="U849" s="904"/>
      <c r="V849" s="904"/>
      <c r="W849" s="904"/>
      <c r="X849" s="904"/>
      <c r="Y849" s="904"/>
    </row>
    <row r="850" spans="1:25" x14ac:dyDescent="0.2">
      <c r="A850" s="903"/>
      <c r="B850" s="903"/>
      <c r="C850" s="903"/>
      <c r="D850" s="903"/>
      <c r="E850" s="903"/>
      <c r="R850" s="904"/>
      <c r="S850" s="904"/>
      <c r="T850" s="904"/>
      <c r="U850" s="904"/>
      <c r="V850" s="904"/>
      <c r="W850" s="904"/>
      <c r="X850" s="904"/>
      <c r="Y850" s="904"/>
    </row>
    <row r="851" spans="1:25" x14ac:dyDescent="0.2">
      <c r="A851" s="903"/>
      <c r="B851" s="903"/>
      <c r="C851" s="903"/>
      <c r="D851" s="903"/>
      <c r="E851" s="903"/>
      <c r="R851" s="904"/>
      <c r="S851" s="904"/>
      <c r="T851" s="904"/>
      <c r="U851" s="904"/>
      <c r="V851" s="904"/>
      <c r="W851" s="904"/>
      <c r="X851" s="904"/>
      <c r="Y851" s="904"/>
    </row>
    <row r="852" spans="1:25" x14ac:dyDescent="0.2">
      <c r="A852" s="903"/>
      <c r="B852" s="903"/>
      <c r="C852" s="903"/>
      <c r="D852" s="903"/>
      <c r="E852" s="903"/>
      <c r="R852" s="904"/>
      <c r="S852" s="904"/>
      <c r="T852" s="904"/>
      <c r="U852" s="904"/>
      <c r="V852" s="904"/>
      <c r="W852" s="904"/>
      <c r="X852" s="904"/>
      <c r="Y852" s="904"/>
    </row>
    <row r="853" spans="1:25" x14ac:dyDescent="0.2">
      <c r="A853" s="903"/>
      <c r="B853" s="903"/>
      <c r="C853" s="903"/>
      <c r="D853" s="903"/>
      <c r="E853" s="903"/>
      <c r="R853" s="904"/>
      <c r="S853" s="904"/>
      <c r="T853" s="904"/>
      <c r="U853" s="904"/>
      <c r="V853" s="904"/>
      <c r="W853" s="904"/>
      <c r="X853" s="904"/>
      <c r="Y853" s="904"/>
    </row>
    <row r="854" spans="1:25" x14ac:dyDescent="0.2">
      <c r="A854" s="903"/>
      <c r="B854" s="903"/>
      <c r="C854" s="903"/>
      <c r="D854" s="903"/>
      <c r="E854" s="903"/>
      <c r="R854" s="904"/>
      <c r="S854" s="904"/>
      <c r="T854" s="904"/>
      <c r="U854" s="904"/>
      <c r="V854" s="904"/>
      <c r="W854" s="904"/>
      <c r="X854" s="904"/>
      <c r="Y854" s="904"/>
    </row>
    <row r="855" spans="1:25" x14ac:dyDescent="0.2">
      <c r="A855" s="903"/>
      <c r="B855" s="903"/>
      <c r="C855" s="903"/>
      <c r="D855" s="903"/>
      <c r="E855" s="903"/>
      <c r="R855" s="904"/>
      <c r="S855" s="904"/>
      <c r="T855" s="904"/>
      <c r="U855" s="904"/>
      <c r="V855" s="904"/>
      <c r="W855" s="904"/>
      <c r="X855" s="904"/>
      <c r="Y855" s="904"/>
    </row>
    <row r="856" spans="1:25" x14ac:dyDescent="0.2">
      <c r="A856" s="903"/>
      <c r="B856" s="903"/>
      <c r="C856" s="903"/>
      <c r="D856" s="903"/>
      <c r="E856" s="903"/>
      <c r="R856" s="904"/>
      <c r="S856" s="904"/>
      <c r="T856" s="904"/>
      <c r="U856" s="904"/>
      <c r="V856" s="904"/>
      <c r="W856" s="904"/>
      <c r="X856" s="904"/>
      <c r="Y856" s="904"/>
    </row>
    <row r="857" spans="1:25" x14ac:dyDescent="0.2">
      <c r="A857" s="903"/>
      <c r="B857" s="903"/>
      <c r="C857" s="903"/>
      <c r="D857" s="903"/>
      <c r="E857" s="903"/>
      <c r="R857" s="904"/>
      <c r="S857" s="904"/>
      <c r="T857" s="904"/>
      <c r="U857" s="904"/>
      <c r="V857" s="904"/>
      <c r="W857" s="904"/>
      <c r="X857" s="904"/>
      <c r="Y857" s="904"/>
    </row>
    <row r="858" spans="1:25" x14ac:dyDescent="0.2">
      <c r="A858" s="903"/>
      <c r="B858" s="903"/>
      <c r="C858" s="903"/>
      <c r="D858" s="903"/>
      <c r="E858" s="903"/>
      <c r="R858" s="904"/>
      <c r="S858" s="904"/>
      <c r="T858" s="904"/>
      <c r="U858" s="904"/>
      <c r="V858" s="904"/>
      <c r="W858" s="904"/>
      <c r="X858" s="904"/>
      <c r="Y858" s="904"/>
    </row>
    <row r="859" spans="1:25" x14ac:dyDescent="0.2">
      <c r="A859" s="903"/>
      <c r="B859" s="903"/>
      <c r="C859" s="903"/>
      <c r="D859" s="903"/>
      <c r="E859" s="903"/>
      <c r="R859" s="904"/>
      <c r="S859" s="904"/>
      <c r="T859" s="904"/>
      <c r="U859" s="904"/>
      <c r="V859" s="904"/>
      <c r="W859" s="904"/>
      <c r="X859" s="904"/>
      <c r="Y859" s="904"/>
    </row>
    <row r="860" spans="1:25" x14ac:dyDescent="0.2">
      <c r="A860" s="903"/>
      <c r="B860" s="903"/>
      <c r="C860" s="903"/>
      <c r="D860" s="903"/>
      <c r="E860" s="903"/>
      <c r="R860" s="904"/>
      <c r="S860" s="904"/>
      <c r="T860" s="904"/>
      <c r="U860" s="904"/>
      <c r="V860" s="904"/>
      <c r="W860" s="904"/>
      <c r="X860" s="904"/>
      <c r="Y860" s="904"/>
    </row>
    <row r="861" spans="1:25" x14ac:dyDescent="0.2">
      <c r="A861" s="903"/>
      <c r="B861" s="903"/>
      <c r="C861" s="903"/>
      <c r="D861" s="903"/>
      <c r="E861" s="903"/>
      <c r="R861" s="904"/>
      <c r="S861" s="904"/>
      <c r="T861" s="904"/>
      <c r="U861" s="904"/>
      <c r="V861" s="904"/>
      <c r="W861" s="904"/>
      <c r="X861" s="904"/>
      <c r="Y861" s="904"/>
    </row>
    <row r="862" spans="1:25" x14ac:dyDescent="0.2">
      <c r="A862" s="903"/>
      <c r="B862" s="903"/>
      <c r="C862" s="903"/>
      <c r="D862" s="903"/>
      <c r="E862" s="903"/>
      <c r="R862" s="904"/>
      <c r="S862" s="904"/>
      <c r="T862" s="904"/>
      <c r="U862" s="904"/>
      <c r="V862" s="904"/>
      <c r="W862" s="904"/>
      <c r="X862" s="904"/>
      <c r="Y862" s="904"/>
    </row>
    <row r="863" spans="1:25" x14ac:dyDescent="0.2">
      <c r="A863" s="903"/>
      <c r="B863" s="903"/>
      <c r="C863" s="903"/>
      <c r="D863" s="903"/>
      <c r="E863" s="903"/>
      <c r="R863" s="904"/>
      <c r="S863" s="904"/>
      <c r="T863" s="904"/>
      <c r="U863" s="904"/>
      <c r="V863" s="904"/>
      <c r="W863" s="904"/>
      <c r="X863" s="904"/>
      <c r="Y863" s="904"/>
    </row>
    <row r="864" spans="1:25" x14ac:dyDescent="0.2">
      <c r="A864" s="903"/>
      <c r="B864" s="903"/>
      <c r="C864" s="903"/>
      <c r="D864" s="903"/>
      <c r="E864" s="903"/>
      <c r="R864" s="904"/>
      <c r="S864" s="904"/>
      <c r="T864" s="904"/>
      <c r="U864" s="904"/>
      <c r="V864" s="904"/>
      <c r="W864" s="904"/>
      <c r="X864" s="904"/>
      <c r="Y864" s="904"/>
    </row>
    <row r="865" spans="1:25" x14ac:dyDescent="0.2">
      <c r="A865" s="903"/>
      <c r="B865" s="903"/>
      <c r="C865" s="903"/>
      <c r="D865" s="903"/>
      <c r="E865" s="903"/>
      <c r="R865" s="904"/>
      <c r="S865" s="904"/>
      <c r="T865" s="904"/>
      <c r="U865" s="904"/>
      <c r="V865" s="904"/>
      <c r="W865" s="904"/>
      <c r="X865" s="904"/>
      <c r="Y865" s="904"/>
    </row>
    <row r="866" spans="1:25" x14ac:dyDescent="0.2">
      <c r="A866" s="903"/>
      <c r="B866" s="903"/>
      <c r="C866" s="903"/>
      <c r="D866" s="903"/>
      <c r="E866" s="903"/>
      <c r="R866" s="904"/>
      <c r="S866" s="904"/>
      <c r="T866" s="904"/>
      <c r="U866" s="904"/>
      <c r="V866" s="904"/>
      <c r="W866" s="904"/>
      <c r="X866" s="904"/>
      <c r="Y866" s="904"/>
    </row>
    <row r="867" spans="1:25" x14ac:dyDescent="0.2">
      <c r="A867" s="903"/>
      <c r="B867" s="903"/>
      <c r="C867" s="903"/>
      <c r="D867" s="903"/>
      <c r="E867" s="903"/>
      <c r="R867" s="904"/>
      <c r="S867" s="904"/>
      <c r="T867" s="904"/>
      <c r="U867" s="904"/>
      <c r="V867" s="904"/>
      <c r="W867" s="904"/>
      <c r="X867" s="904"/>
      <c r="Y867" s="904"/>
    </row>
    <row r="868" spans="1:25" x14ac:dyDescent="0.2">
      <c r="A868" s="903"/>
      <c r="B868" s="903"/>
      <c r="C868" s="903"/>
      <c r="D868" s="903"/>
      <c r="E868" s="903"/>
      <c r="R868" s="904"/>
      <c r="S868" s="904"/>
      <c r="T868" s="904"/>
      <c r="U868" s="904"/>
      <c r="V868" s="904"/>
      <c r="W868" s="904"/>
      <c r="X868" s="904"/>
      <c r="Y868" s="904"/>
    </row>
    <row r="869" spans="1:25" x14ac:dyDescent="0.2">
      <c r="A869" s="903"/>
      <c r="B869" s="903"/>
      <c r="C869" s="903"/>
      <c r="D869" s="903"/>
      <c r="E869" s="903"/>
      <c r="R869" s="904"/>
      <c r="S869" s="904"/>
      <c r="T869" s="904"/>
      <c r="U869" s="904"/>
      <c r="V869" s="904"/>
      <c r="W869" s="904"/>
      <c r="X869" s="904"/>
      <c r="Y869" s="904"/>
    </row>
    <row r="870" spans="1:25" x14ac:dyDescent="0.2">
      <c r="A870" s="903"/>
      <c r="B870" s="903"/>
      <c r="C870" s="903"/>
      <c r="D870" s="903"/>
      <c r="E870" s="903"/>
      <c r="R870" s="904"/>
      <c r="S870" s="904"/>
      <c r="T870" s="904"/>
      <c r="U870" s="904"/>
      <c r="V870" s="904"/>
      <c r="W870" s="904"/>
      <c r="X870" s="904"/>
      <c r="Y870" s="904"/>
    </row>
    <row r="871" spans="1:25" x14ac:dyDescent="0.2">
      <c r="A871" s="903"/>
      <c r="B871" s="903"/>
      <c r="C871" s="903"/>
      <c r="D871" s="903"/>
      <c r="E871" s="903"/>
      <c r="R871" s="904"/>
      <c r="S871" s="904"/>
      <c r="T871" s="904"/>
      <c r="U871" s="904"/>
      <c r="V871" s="904"/>
      <c r="W871" s="904"/>
      <c r="X871" s="904"/>
      <c r="Y871" s="904"/>
    </row>
    <row r="872" spans="1:25" x14ac:dyDescent="0.2">
      <c r="A872" s="903"/>
      <c r="B872" s="903"/>
      <c r="C872" s="903"/>
      <c r="D872" s="903"/>
      <c r="E872" s="903"/>
      <c r="R872" s="904"/>
      <c r="S872" s="904"/>
      <c r="T872" s="904"/>
      <c r="U872" s="904"/>
      <c r="V872" s="904"/>
      <c r="W872" s="904"/>
      <c r="X872" s="904"/>
      <c r="Y872" s="904"/>
    </row>
    <row r="873" spans="1:25" x14ac:dyDescent="0.2">
      <c r="A873" s="903"/>
      <c r="B873" s="903"/>
      <c r="C873" s="903"/>
      <c r="D873" s="903"/>
      <c r="E873" s="903"/>
      <c r="R873" s="904"/>
      <c r="S873" s="904"/>
      <c r="T873" s="904"/>
      <c r="U873" s="904"/>
      <c r="V873" s="904"/>
      <c r="W873" s="904"/>
      <c r="X873" s="904"/>
      <c r="Y873" s="904"/>
    </row>
    <row r="874" spans="1:25" x14ac:dyDescent="0.2">
      <c r="A874" s="903"/>
      <c r="B874" s="903"/>
      <c r="C874" s="903"/>
      <c r="D874" s="903"/>
      <c r="E874" s="903"/>
      <c r="R874" s="904"/>
      <c r="S874" s="904"/>
      <c r="T874" s="904"/>
      <c r="U874" s="904"/>
      <c r="V874" s="904"/>
      <c r="W874" s="904"/>
      <c r="X874" s="904"/>
      <c r="Y874" s="904"/>
    </row>
    <row r="875" spans="1:25" x14ac:dyDescent="0.2">
      <c r="A875" s="903"/>
      <c r="B875" s="903"/>
      <c r="C875" s="903"/>
      <c r="D875" s="903"/>
      <c r="E875" s="903"/>
      <c r="R875" s="904"/>
      <c r="S875" s="904"/>
      <c r="T875" s="904"/>
      <c r="U875" s="904"/>
      <c r="V875" s="904"/>
      <c r="W875" s="904"/>
      <c r="X875" s="904"/>
      <c r="Y875" s="904"/>
    </row>
    <row r="876" spans="1:25" x14ac:dyDescent="0.2">
      <c r="A876" s="903"/>
      <c r="B876" s="903"/>
      <c r="C876" s="903"/>
      <c r="D876" s="903"/>
      <c r="E876" s="903"/>
      <c r="R876" s="904"/>
      <c r="S876" s="904"/>
      <c r="T876" s="904"/>
      <c r="U876" s="904"/>
      <c r="V876" s="904"/>
      <c r="W876" s="904"/>
      <c r="X876" s="904"/>
      <c r="Y876" s="904"/>
    </row>
    <row r="877" spans="1:25" x14ac:dyDescent="0.2">
      <c r="A877" s="903"/>
      <c r="B877" s="903"/>
      <c r="C877" s="903"/>
      <c r="D877" s="903"/>
      <c r="E877" s="903"/>
      <c r="R877" s="904"/>
      <c r="S877" s="904"/>
      <c r="T877" s="904"/>
      <c r="U877" s="904"/>
      <c r="V877" s="904"/>
      <c r="W877" s="904"/>
      <c r="X877" s="904"/>
      <c r="Y877" s="904"/>
    </row>
    <row r="878" spans="1:25" x14ac:dyDescent="0.2">
      <c r="A878" s="903"/>
      <c r="B878" s="903"/>
      <c r="C878" s="903"/>
      <c r="D878" s="903"/>
      <c r="E878" s="903"/>
      <c r="R878" s="904"/>
      <c r="S878" s="904"/>
      <c r="T878" s="904"/>
      <c r="U878" s="904"/>
      <c r="V878" s="904"/>
      <c r="W878" s="904"/>
      <c r="X878" s="904"/>
      <c r="Y878" s="904"/>
    </row>
    <row r="879" spans="1:25" x14ac:dyDescent="0.2">
      <c r="A879" s="903"/>
      <c r="B879" s="903"/>
      <c r="C879" s="903"/>
      <c r="D879" s="903"/>
      <c r="E879" s="903"/>
      <c r="R879" s="904"/>
      <c r="S879" s="904"/>
      <c r="T879" s="904"/>
      <c r="U879" s="904"/>
      <c r="V879" s="904"/>
      <c r="W879" s="904"/>
      <c r="X879" s="904"/>
      <c r="Y879" s="904"/>
    </row>
    <row r="880" spans="1:25" x14ac:dyDescent="0.2">
      <c r="A880" s="903"/>
      <c r="B880" s="903"/>
      <c r="C880" s="903"/>
      <c r="D880" s="903"/>
      <c r="E880" s="903"/>
      <c r="R880" s="904"/>
      <c r="S880" s="904"/>
      <c r="T880" s="904"/>
      <c r="U880" s="904"/>
      <c r="V880" s="904"/>
      <c r="W880" s="904"/>
      <c r="X880" s="904"/>
      <c r="Y880" s="904"/>
    </row>
    <row r="881" spans="1:25" x14ac:dyDescent="0.2">
      <c r="A881" s="903"/>
      <c r="B881" s="903"/>
      <c r="C881" s="903"/>
      <c r="D881" s="903"/>
      <c r="E881" s="903"/>
      <c r="R881" s="904"/>
      <c r="S881" s="904"/>
      <c r="T881" s="904"/>
      <c r="U881" s="904"/>
      <c r="V881" s="904"/>
      <c r="W881" s="904"/>
      <c r="X881" s="904"/>
      <c r="Y881" s="904"/>
    </row>
    <row r="882" spans="1:25" x14ac:dyDescent="0.2">
      <c r="A882" s="903"/>
      <c r="B882" s="903"/>
      <c r="C882" s="903"/>
      <c r="D882" s="903"/>
      <c r="E882" s="903"/>
      <c r="R882" s="904"/>
      <c r="S882" s="904"/>
      <c r="T882" s="904"/>
      <c r="U882" s="904"/>
      <c r="V882" s="904"/>
      <c r="W882" s="904"/>
      <c r="X882" s="904"/>
      <c r="Y882" s="904"/>
    </row>
    <row r="883" spans="1:25" x14ac:dyDescent="0.2">
      <c r="A883" s="903"/>
      <c r="B883" s="903"/>
      <c r="C883" s="903"/>
      <c r="D883" s="903"/>
      <c r="E883" s="903"/>
      <c r="R883" s="904"/>
      <c r="S883" s="904"/>
      <c r="T883" s="904"/>
      <c r="U883" s="904"/>
      <c r="V883" s="904"/>
      <c r="W883" s="904"/>
      <c r="X883" s="904"/>
      <c r="Y883" s="904"/>
    </row>
    <row r="884" spans="1:25" x14ac:dyDescent="0.2">
      <c r="A884" s="903"/>
      <c r="B884" s="903"/>
      <c r="C884" s="903"/>
      <c r="D884" s="903"/>
      <c r="E884" s="903"/>
      <c r="R884" s="904"/>
      <c r="S884" s="904"/>
      <c r="T884" s="904"/>
      <c r="U884" s="904"/>
      <c r="V884" s="904"/>
      <c r="W884" s="904"/>
      <c r="X884" s="904"/>
      <c r="Y884" s="904"/>
    </row>
    <row r="885" spans="1:25" x14ac:dyDescent="0.2">
      <c r="A885" s="903"/>
      <c r="B885" s="903"/>
      <c r="C885" s="903"/>
      <c r="D885" s="903"/>
      <c r="E885" s="903"/>
      <c r="R885" s="904"/>
      <c r="S885" s="904"/>
      <c r="T885" s="904"/>
      <c r="U885" s="904"/>
      <c r="V885" s="904"/>
      <c r="W885" s="904"/>
      <c r="X885" s="904"/>
      <c r="Y885" s="904"/>
    </row>
    <row r="886" spans="1:25" x14ac:dyDescent="0.2">
      <c r="A886" s="903"/>
      <c r="B886" s="903"/>
      <c r="C886" s="903"/>
      <c r="D886" s="903"/>
      <c r="E886" s="903"/>
      <c r="R886" s="904"/>
      <c r="S886" s="904"/>
      <c r="T886" s="904"/>
      <c r="U886" s="904"/>
      <c r="V886" s="904"/>
      <c r="W886" s="904"/>
      <c r="X886" s="904"/>
      <c r="Y886" s="904"/>
    </row>
    <row r="887" spans="1:25" x14ac:dyDescent="0.2">
      <c r="A887" s="903"/>
      <c r="B887" s="903"/>
      <c r="C887" s="903"/>
      <c r="D887" s="903"/>
      <c r="E887" s="903"/>
      <c r="R887" s="904"/>
      <c r="S887" s="904"/>
      <c r="T887" s="904"/>
      <c r="U887" s="904"/>
      <c r="V887" s="904"/>
      <c r="W887" s="904"/>
      <c r="X887" s="904"/>
      <c r="Y887" s="904"/>
    </row>
    <row r="888" spans="1:25" x14ac:dyDescent="0.2">
      <c r="A888" s="903"/>
      <c r="B888" s="903"/>
      <c r="C888" s="903"/>
      <c r="D888" s="903"/>
      <c r="E888" s="903"/>
      <c r="R888" s="904"/>
      <c r="S888" s="904"/>
      <c r="T888" s="904"/>
      <c r="U888" s="904"/>
      <c r="V888" s="904"/>
      <c r="W888" s="904"/>
      <c r="X888" s="904"/>
      <c r="Y888" s="904"/>
    </row>
    <row r="889" spans="1:25" x14ac:dyDescent="0.2">
      <c r="A889" s="903"/>
      <c r="B889" s="903"/>
      <c r="C889" s="903"/>
      <c r="D889" s="903"/>
      <c r="E889" s="903"/>
      <c r="R889" s="904"/>
      <c r="S889" s="904"/>
      <c r="T889" s="904"/>
      <c r="U889" s="904"/>
      <c r="V889" s="904"/>
      <c r="W889" s="904"/>
      <c r="X889" s="904"/>
      <c r="Y889" s="904"/>
    </row>
    <row r="890" spans="1:25" x14ac:dyDescent="0.2">
      <c r="A890" s="903"/>
      <c r="B890" s="903"/>
      <c r="C890" s="903"/>
      <c r="D890" s="903"/>
      <c r="E890" s="903"/>
      <c r="R890" s="904"/>
      <c r="S890" s="904"/>
      <c r="T890" s="904"/>
      <c r="U890" s="904"/>
      <c r="V890" s="904"/>
      <c r="W890" s="904"/>
      <c r="X890" s="904"/>
      <c r="Y890" s="904"/>
    </row>
    <row r="891" spans="1:25" x14ac:dyDescent="0.2">
      <c r="A891" s="903"/>
      <c r="B891" s="903"/>
      <c r="C891" s="903"/>
      <c r="D891" s="903"/>
      <c r="E891" s="903"/>
      <c r="R891" s="904"/>
      <c r="S891" s="904"/>
      <c r="T891" s="904"/>
      <c r="U891" s="904"/>
      <c r="V891" s="904"/>
      <c r="W891" s="904"/>
      <c r="X891" s="904"/>
      <c r="Y891" s="904"/>
    </row>
    <row r="892" spans="1:25" x14ac:dyDescent="0.2">
      <c r="A892" s="903"/>
      <c r="B892" s="903"/>
      <c r="C892" s="903"/>
      <c r="D892" s="903"/>
      <c r="E892" s="903"/>
      <c r="R892" s="904"/>
      <c r="S892" s="904"/>
      <c r="T892" s="904"/>
      <c r="U892" s="904"/>
      <c r="V892" s="904"/>
      <c r="W892" s="904"/>
      <c r="X892" s="904"/>
      <c r="Y892" s="904"/>
    </row>
    <row r="893" spans="1:25" x14ac:dyDescent="0.2">
      <c r="A893" s="903"/>
      <c r="B893" s="903"/>
      <c r="C893" s="903"/>
      <c r="D893" s="903"/>
      <c r="E893" s="903"/>
      <c r="R893" s="904"/>
      <c r="S893" s="904"/>
      <c r="T893" s="904"/>
      <c r="U893" s="904"/>
      <c r="V893" s="904"/>
      <c r="W893" s="904"/>
      <c r="X893" s="904"/>
      <c r="Y893" s="904"/>
    </row>
    <row r="894" spans="1:25" x14ac:dyDescent="0.2">
      <c r="A894" s="903"/>
      <c r="B894" s="903"/>
      <c r="C894" s="903"/>
      <c r="D894" s="903"/>
      <c r="E894" s="903"/>
      <c r="R894" s="904"/>
      <c r="S894" s="904"/>
      <c r="T894" s="904"/>
      <c r="U894" s="904"/>
      <c r="V894" s="904"/>
      <c r="W894" s="904"/>
      <c r="X894" s="904"/>
      <c r="Y894" s="904"/>
    </row>
    <row r="895" spans="1:25" x14ac:dyDescent="0.2">
      <c r="A895" s="903"/>
      <c r="B895" s="903"/>
      <c r="C895" s="903"/>
      <c r="D895" s="903"/>
      <c r="E895" s="903"/>
      <c r="R895" s="904"/>
      <c r="S895" s="904"/>
      <c r="T895" s="904"/>
      <c r="U895" s="904"/>
      <c r="V895" s="904"/>
      <c r="W895" s="904"/>
      <c r="X895" s="904"/>
      <c r="Y895" s="904"/>
    </row>
    <row r="896" spans="1:25" x14ac:dyDescent="0.2">
      <c r="A896" s="903"/>
      <c r="B896" s="903"/>
      <c r="C896" s="903"/>
      <c r="D896" s="903"/>
      <c r="E896" s="903"/>
      <c r="R896" s="904"/>
      <c r="S896" s="904"/>
      <c r="T896" s="904"/>
      <c r="U896" s="904"/>
      <c r="V896" s="904"/>
      <c r="W896" s="904"/>
      <c r="X896" s="904"/>
      <c r="Y896" s="904"/>
    </row>
    <row r="897" spans="1:25" x14ac:dyDescent="0.2">
      <c r="A897" s="903"/>
      <c r="B897" s="903"/>
      <c r="C897" s="903"/>
      <c r="D897" s="903"/>
      <c r="E897" s="903"/>
      <c r="R897" s="904"/>
      <c r="S897" s="904"/>
      <c r="T897" s="904"/>
      <c r="U897" s="904"/>
      <c r="V897" s="904"/>
      <c r="W897" s="904"/>
      <c r="X897" s="904"/>
      <c r="Y897" s="904"/>
    </row>
    <row r="898" spans="1:25" x14ac:dyDescent="0.2">
      <c r="A898" s="903"/>
      <c r="B898" s="903"/>
      <c r="C898" s="903"/>
      <c r="D898" s="903"/>
      <c r="E898" s="903"/>
      <c r="R898" s="904"/>
      <c r="S898" s="904"/>
      <c r="T898" s="904"/>
      <c r="U898" s="904"/>
      <c r="V898" s="904"/>
      <c r="W898" s="904"/>
      <c r="X898" s="904"/>
      <c r="Y898" s="904"/>
    </row>
    <row r="899" spans="1:25" x14ac:dyDescent="0.2">
      <c r="A899" s="903"/>
      <c r="B899" s="903"/>
      <c r="C899" s="903"/>
      <c r="D899" s="903"/>
      <c r="E899" s="903"/>
      <c r="R899" s="904"/>
      <c r="S899" s="904"/>
      <c r="T899" s="904"/>
      <c r="U899" s="904"/>
      <c r="V899" s="904"/>
      <c r="W899" s="904"/>
      <c r="X899" s="904"/>
      <c r="Y899" s="904"/>
    </row>
    <row r="900" spans="1:25" x14ac:dyDescent="0.2">
      <c r="A900" s="903"/>
      <c r="B900" s="903"/>
      <c r="C900" s="903"/>
      <c r="D900" s="903"/>
      <c r="E900" s="903"/>
      <c r="R900" s="904"/>
      <c r="S900" s="904"/>
      <c r="T900" s="904"/>
      <c r="U900" s="904"/>
      <c r="V900" s="904"/>
      <c r="W900" s="904"/>
      <c r="X900" s="904"/>
      <c r="Y900" s="904"/>
    </row>
    <row r="901" spans="1:25" x14ac:dyDescent="0.2">
      <c r="A901" s="903"/>
      <c r="B901" s="903"/>
      <c r="C901" s="903"/>
      <c r="D901" s="903"/>
      <c r="E901" s="903"/>
      <c r="R901" s="904"/>
      <c r="S901" s="904"/>
      <c r="T901" s="904"/>
      <c r="U901" s="904"/>
      <c r="V901" s="904"/>
      <c r="W901" s="904"/>
      <c r="X901" s="904"/>
      <c r="Y901" s="904"/>
    </row>
    <row r="902" spans="1:25" x14ac:dyDescent="0.2">
      <c r="A902" s="903"/>
      <c r="B902" s="903"/>
      <c r="C902" s="903"/>
      <c r="D902" s="903"/>
      <c r="E902" s="903"/>
      <c r="R902" s="904"/>
      <c r="S902" s="904"/>
      <c r="T902" s="904"/>
      <c r="U902" s="904"/>
      <c r="V902" s="904"/>
      <c r="W902" s="904"/>
      <c r="X902" s="904"/>
      <c r="Y902" s="904"/>
    </row>
    <row r="903" spans="1:25" x14ac:dyDescent="0.2">
      <c r="A903" s="903"/>
      <c r="B903" s="903"/>
      <c r="C903" s="903"/>
      <c r="D903" s="903"/>
      <c r="E903" s="903"/>
      <c r="R903" s="904"/>
      <c r="S903" s="904"/>
      <c r="T903" s="904"/>
      <c r="U903" s="904"/>
      <c r="V903" s="904"/>
      <c r="W903" s="904"/>
      <c r="X903" s="904"/>
      <c r="Y903" s="904"/>
    </row>
    <row r="904" spans="1:25" x14ac:dyDescent="0.2">
      <c r="A904" s="903"/>
      <c r="B904" s="903"/>
      <c r="C904" s="903"/>
      <c r="D904" s="903"/>
      <c r="E904" s="903"/>
      <c r="R904" s="904"/>
      <c r="S904" s="904"/>
      <c r="T904" s="904"/>
      <c r="U904" s="904"/>
      <c r="V904" s="904"/>
      <c r="W904" s="904"/>
      <c r="X904" s="904"/>
      <c r="Y904" s="904"/>
    </row>
    <row r="905" spans="1:25" x14ac:dyDescent="0.2">
      <c r="A905" s="903"/>
      <c r="B905" s="903"/>
      <c r="C905" s="903"/>
      <c r="D905" s="903"/>
      <c r="E905" s="903"/>
      <c r="R905" s="904"/>
      <c r="S905" s="904"/>
      <c r="T905" s="904"/>
      <c r="U905" s="904"/>
      <c r="V905" s="904"/>
      <c r="W905" s="904"/>
      <c r="X905" s="904"/>
      <c r="Y905" s="904"/>
    </row>
    <row r="906" spans="1:25" x14ac:dyDescent="0.2">
      <c r="A906" s="903"/>
      <c r="B906" s="903"/>
      <c r="C906" s="903"/>
      <c r="D906" s="903"/>
      <c r="E906" s="903"/>
      <c r="R906" s="904"/>
      <c r="S906" s="904"/>
      <c r="T906" s="904"/>
      <c r="U906" s="904"/>
      <c r="V906" s="904"/>
      <c r="W906" s="904"/>
      <c r="X906" s="904"/>
      <c r="Y906" s="904"/>
    </row>
    <row r="907" spans="1:25" x14ac:dyDescent="0.2">
      <c r="A907" s="903"/>
      <c r="B907" s="903"/>
      <c r="C907" s="903"/>
      <c r="D907" s="903"/>
      <c r="E907" s="903"/>
      <c r="R907" s="904"/>
      <c r="S907" s="904"/>
      <c r="T907" s="904"/>
      <c r="U907" s="904"/>
      <c r="V907" s="904"/>
      <c r="W907" s="904"/>
      <c r="X907" s="904"/>
      <c r="Y907" s="904"/>
    </row>
    <row r="908" spans="1:25" x14ac:dyDescent="0.2">
      <c r="A908" s="903"/>
      <c r="B908" s="903"/>
      <c r="C908" s="903"/>
      <c r="D908" s="903"/>
      <c r="E908" s="903"/>
      <c r="R908" s="904"/>
      <c r="S908" s="904"/>
      <c r="T908" s="904"/>
      <c r="U908" s="904"/>
      <c r="V908" s="904"/>
      <c r="W908" s="904"/>
      <c r="X908" s="904"/>
      <c r="Y908" s="904"/>
    </row>
    <row r="909" spans="1:25" x14ac:dyDescent="0.2">
      <c r="A909" s="903"/>
      <c r="B909" s="903"/>
      <c r="C909" s="903"/>
      <c r="D909" s="903"/>
      <c r="E909" s="903"/>
      <c r="R909" s="904"/>
      <c r="S909" s="904"/>
      <c r="T909" s="904"/>
      <c r="U909" s="904"/>
      <c r="V909" s="904"/>
      <c r="W909" s="904"/>
      <c r="X909" s="904"/>
      <c r="Y909" s="904"/>
    </row>
    <row r="910" spans="1:25" x14ac:dyDescent="0.2">
      <c r="A910" s="903"/>
      <c r="B910" s="903"/>
      <c r="C910" s="903"/>
      <c r="D910" s="903"/>
      <c r="E910" s="903"/>
      <c r="R910" s="904"/>
      <c r="S910" s="904"/>
      <c r="T910" s="904"/>
      <c r="U910" s="904"/>
      <c r="V910" s="904"/>
      <c r="W910" s="904"/>
      <c r="X910" s="904"/>
      <c r="Y910" s="904"/>
    </row>
    <row r="911" spans="1:25" x14ac:dyDescent="0.2">
      <c r="A911" s="903"/>
      <c r="B911" s="903"/>
      <c r="C911" s="903"/>
      <c r="D911" s="903"/>
      <c r="E911" s="903"/>
      <c r="R911" s="904"/>
      <c r="S911" s="904"/>
      <c r="T911" s="904"/>
      <c r="U911" s="904"/>
      <c r="V911" s="904"/>
      <c r="W911" s="904"/>
      <c r="X911" s="904"/>
      <c r="Y911" s="904"/>
    </row>
    <row r="912" spans="1:25" x14ac:dyDescent="0.2">
      <c r="A912" s="903"/>
      <c r="B912" s="903"/>
      <c r="C912" s="903"/>
      <c r="D912" s="903"/>
      <c r="E912" s="903"/>
      <c r="R912" s="904"/>
      <c r="S912" s="904"/>
      <c r="T912" s="904"/>
      <c r="U912" s="904"/>
      <c r="V912" s="904"/>
      <c r="W912" s="904"/>
      <c r="X912" s="904"/>
      <c r="Y912" s="904"/>
    </row>
    <row r="913" spans="1:25" x14ac:dyDescent="0.2">
      <c r="A913" s="903"/>
      <c r="B913" s="903"/>
      <c r="C913" s="903"/>
      <c r="D913" s="903"/>
      <c r="E913" s="903"/>
      <c r="R913" s="904"/>
      <c r="S913" s="904"/>
      <c r="T913" s="904"/>
      <c r="U913" s="904"/>
      <c r="V913" s="904"/>
      <c r="W913" s="904"/>
      <c r="X913" s="904"/>
      <c r="Y913" s="904"/>
    </row>
    <row r="914" spans="1:25" x14ac:dyDescent="0.2">
      <c r="A914" s="903"/>
      <c r="B914" s="903"/>
      <c r="C914" s="903"/>
      <c r="D914" s="903"/>
      <c r="E914" s="903"/>
      <c r="R914" s="904"/>
      <c r="S914" s="904"/>
      <c r="T914" s="904"/>
      <c r="U914" s="904"/>
      <c r="V914" s="904"/>
      <c r="W914" s="904"/>
      <c r="X914" s="904"/>
      <c r="Y914" s="904"/>
    </row>
    <row r="915" spans="1:25" x14ac:dyDescent="0.2">
      <c r="A915" s="903"/>
      <c r="B915" s="903"/>
      <c r="C915" s="903"/>
      <c r="D915" s="903"/>
      <c r="E915" s="903"/>
      <c r="R915" s="904"/>
      <c r="S915" s="904"/>
      <c r="T915" s="904"/>
      <c r="U915" s="904"/>
      <c r="V915" s="904"/>
      <c r="W915" s="904"/>
      <c r="X915" s="904"/>
      <c r="Y915" s="904"/>
    </row>
    <row r="916" spans="1:25" x14ac:dyDescent="0.2">
      <c r="A916" s="903"/>
      <c r="B916" s="903"/>
      <c r="C916" s="903"/>
      <c r="D916" s="903"/>
      <c r="E916" s="903"/>
      <c r="R916" s="904"/>
      <c r="S916" s="904"/>
      <c r="T916" s="904"/>
      <c r="U916" s="904"/>
      <c r="V916" s="904"/>
      <c r="W916" s="904"/>
      <c r="X916" s="904"/>
      <c r="Y916" s="904"/>
    </row>
    <row r="917" spans="1:25" x14ac:dyDescent="0.2">
      <c r="A917" s="903"/>
      <c r="B917" s="903"/>
      <c r="C917" s="903"/>
      <c r="D917" s="903"/>
      <c r="E917" s="903"/>
      <c r="R917" s="904"/>
      <c r="S917" s="904"/>
      <c r="T917" s="904"/>
      <c r="U917" s="904"/>
      <c r="V917" s="904"/>
      <c r="W917" s="904"/>
      <c r="X917" s="904"/>
      <c r="Y917" s="904"/>
    </row>
    <row r="918" spans="1:25" x14ac:dyDescent="0.2">
      <c r="A918" s="903"/>
      <c r="B918" s="903"/>
      <c r="C918" s="903"/>
      <c r="D918" s="903"/>
      <c r="E918" s="903"/>
      <c r="R918" s="904"/>
      <c r="S918" s="904"/>
      <c r="T918" s="904"/>
      <c r="U918" s="904"/>
      <c r="V918" s="904"/>
      <c r="W918" s="904"/>
      <c r="X918" s="904"/>
      <c r="Y918" s="904"/>
    </row>
    <row r="919" spans="1:25" x14ac:dyDescent="0.2">
      <c r="A919" s="903"/>
      <c r="B919" s="903"/>
      <c r="C919" s="903"/>
      <c r="D919" s="903"/>
      <c r="E919" s="903"/>
      <c r="R919" s="904"/>
      <c r="S919" s="904"/>
      <c r="T919" s="904"/>
      <c r="U919" s="904"/>
      <c r="V919" s="904"/>
      <c r="W919" s="904"/>
      <c r="X919" s="904"/>
      <c r="Y919" s="904"/>
    </row>
    <row r="920" spans="1:25" x14ac:dyDescent="0.2">
      <c r="A920" s="903"/>
      <c r="B920" s="903"/>
      <c r="C920" s="903"/>
      <c r="D920" s="903"/>
      <c r="E920" s="903"/>
      <c r="R920" s="904"/>
      <c r="S920" s="904"/>
      <c r="T920" s="904"/>
      <c r="U920" s="904"/>
      <c r="V920" s="904"/>
      <c r="W920" s="904"/>
      <c r="X920" s="904"/>
      <c r="Y920" s="904"/>
    </row>
    <row r="921" spans="1:25" x14ac:dyDescent="0.2">
      <c r="A921" s="903"/>
      <c r="B921" s="903"/>
      <c r="C921" s="903"/>
      <c r="D921" s="903"/>
      <c r="E921" s="903"/>
      <c r="R921" s="904"/>
      <c r="S921" s="904"/>
      <c r="T921" s="904"/>
      <c r="U921" s="904"/>
      <c r="V921" s="904"/>
      <c r="W921" s="904"/>
      <c r="X921" s="904"/>
      <c r="Y921" s="904"/>
    </row>
    <row r="922" spans="1:25" x14ac:dyDescent="0.2">
      <c r="A922" s="903"/>
      <c r="B922" s="903"/>
      <c r="C922" s="903"/>
      <c r="D922" s="903"/>
      <c r="E922" s="903"/>
      <c r="R922" s="904"/>
      <c r="S922" s="904"/>
      <c r="T922" s="904"/>
      <c r="U922" s="904"/>
      <c r="V922" s="904"/>
      <c r="W922" s="904"/>
      <c r="X922" s="904"/>
      <c r="Y922" s="904"/>
    </row>
    <row r="923" spans="1:25" x14ac:dyDescent="0.2">
      <c r="A923" s="903"/>
      <c r="B923" s="903"/>
      <c r="C923" s="903"/>
      <c r="D923" s="903"/>
      <c r="E923" s="903"/>
      <c r="R923" s="904"/>
      <c r="S923" s="904"/>
      <c r="T923" s="904"/>
      <c r="U923" s="904"/>
      <c r="V923" s="904"/>
      <c r="W923" s="904"/>
      <c r="X923" s="904"/>
      <c r="Y923" s="904"/>
    </row>
    <row r="924" spans="1:25" x14ac:dyDescent="0.2">
      <c r="A924" s="903"/>
      <c r="B924" s="903"/>
      <c r="C924" s="903"/>
      <c r="D924" s="903"/>
      <c r="E924" s="903"/>
      <c r="R924" s="904"/>
      <c r="S924" s="904"/>
      <c r="T924" s="904"/>
      <c r="U924" s="904"/>
      <c r="V924" s="904"/>
      <c r="W924" s="904"/>
      <c r="X924" s="904"/>
      <c r="Y924" s="904"/>
    </row>
    <row r="925" spans="1:25" x14ac:dyDescent="0.2">
      <c r="A925" s="903"/>
      <c r="B925" s="903"/>
      <c r="C925" s="903"/>
      <c r="D925" s="903"/>
      <c r="E925" s="903"/>
      <c r="R925" s="904"/>
      <c r="S925" s="904"/>
      <c r="T925" s="904"/>
      <c r="U925" s="904"/>
      <c r="V925" s="904"/>
      <c r="W925" s="904"/>
      <c r="X925" s="904"/>
      <c r="Y925" s="904"/>
    </row>
    <row r="926" spans="1:25" x14ac:dyDescent="0.2">
      <c r="A926" s="903"/>
      <c r="B926" s="903"/>
      <c r="C926" s="903"/>
      <c r="D926" s="903"/>
      <c r="E926" s="903"/>
      <c r="R926" s="904"/>
      <c r="S926" s="904"/>
      <c r="T926" s="904"/>
      <c r="U926" s="904"/>
      <c r="V926" s="904"/>
      <c r="W926" s="904"/>
      <c r="X926" s="904"/>
      <c r="Y926" s="904"/>
    </row>
    <row r="927" spans="1:25" x14ac:dyDescent="0.2">
      <c r="A927" s="903"/>
      <c r="B927" s="903"/>
      <c r="C927" s="903"/>
      <c r="D927" s="903"/>
      <c r="E927" s="903"/>
      <c r="R927" s="904"/>
      <c r="S927" s="904"/>
      <c r="T927" s="904"/>
      <c r="U927" s="904"/>
      <c r="V927" s="904"/>
      <c r="W927" s="904"/>
      <c r="X927" s="904"/>
      <c r="Y927" s="904"/>
    </row>
    <row r="928" spans="1:25" x14ac:dyDescent="0.2">
      <c r="A928" s="903"/>
      <c r="B928" s="903"/>
      <c r="C928" s="903"/>
      <c r="D928" s="903"/>
      <c r="E928" s="903"/>
      <c r="R928" s="904"/>
      <c r="S928" s="904"/>
      <c r="T928" s="904"/>
      <c r="U928" s="904"/>
      <c r="V928" s="904"/>
      <c r="W928" s="904"/>
      <c r="X928" s="904"/>
      <c r="Y928" s="904"/>
    </row>
    <row r="929" spans="1:25" x14ac:dyDescent="0.2">
      <c r="A929" s="903"/>
      <c r="B929" s="903"/>
      <c r="C929" s="903"/>
      <c r="D929" s="903"/>
      <c r="E929" s="903"/>
      <c r="R929" s="904"/>
      <c r="S929" s="904"/>
      <c r="T929" s="904"/>
      <c r="U929" s="904"/>
      <c r="V929" s="904"/>
      <c r="W929" s="904"/>
      <c r="X929" s="904"/>
      <c r="Y929" s="904"/>
    </row>
    <row r="930" spans="1:25" x14ac:dyDescent="0.2">
      <c r="A930" s="903"/>
      <c r="B930" s="903"/>
      <c r="C930" s="903"/>
      <c r="D930" s="903"/>
      <c r="E930" s="903"/>
      <c r="R930" s="904"/>
      <c r="S930" s="904"/>
      <c r="T930" s="904"/>
      <c r="U930" s="904"/>
      <c r="V930" s="904"/>
      <c r="W930" s="904"/>
      <c r="X930" s="904"/>
      <c r="Y930" s="904"/>
    </row>
    <row r="931" spans="1:25" x14ac:dyDescent="0.2">
      <c r="A931" s="903"/>
      <c r="B931" s="903"/>
      <c r="C931" s="903"/>
      <c r="D931" s="903"/>
      <c r="E931" s="903"/>
      <c r="R931" s="904"/>
      <c r="S931" s="904"/>
      <c r="T931" s="904"/>
      <c r="U931" s="904"/>
      <c r="V931" s="904"/>
      <c r="W931" s="904"/>
      <c r="X931" s="904"/>
      <c r="Y931" s="904"/>
    </row>
    <row r="932" spans="1:25" x14ac:dyDescent="0.2">
      <c r="A932" s="903"/>
      <c r="B932" s="903"/>
      <c r="C932" s="903"/>
      <c r="D932" s="903"/>
      <c r="E932" s="903"/>
      <c r="R932" s="904"/>
      <c r="S932" s="904"/>
      <c r="T932" s="904"/>
      <c r="U932" s="904"/>
      <c r="V932" s="904"/>
      <c r="W932" s="904"/>
      <c r="X932" s="904"/>
      <c r="Y932" s="904"/>
    </row>
    <row r="933" spans="1:25" x14ac:dyDescent="0.2">
      <c r="A933" s="903"/>
      <c r="B933" s="903"/>
      <c r="C933" s="903"/>
      <c r="D933" s="903"/>
      <c r="E933" s="903"/>
      <c r="R933" s="904"/>
      <c r="S933" s="904"/>
      <c r="T933" s="904"/>
      <c r="U933" s="904"/>
      <c r="V933" s="904"/>
      <c r="W933" s="904"/>
      <c r="X933" s="904"/>
      <c r="Y933" s="904"/>
    </row>
    <row r="934" spans="1:25" x14ac:dyDescent="0.2">
      <c r="A934" s="903"/>
      <c r="B934" s="903"/>
      <c r="C934" s="903"/>
      <c r="D934" s="903"/>
      <c r="E934" s="903"/>
      <c r="R934" s="904"/>
      <c r="S934" s="904"/>
      <c r="T934" s="904"/>
      <c r="U934" s="904"/>
      <c r="V934" s="904"/>
      <c r="W934" s="904"/>
      <c r="X934" s="904"/>
      <c r="Y934" s="904"/>
    </row>
    <row r="935" spans="1:25" x14ac:dyDescent="0.2">
      <c r="A935" s="903"/>
      <c r="B935" s="903"/>
      <c r="C935" s="903"/>
      <c r="D935" s="903"/>
      <c r="E935" s="903"/>
      <c r="R935" s="904"/>
      <c r="S935" s="904"/>
      <c r="T935" s="904"/>
      <c r="U935" s="904"/>
      <c r="V935" s="904"/>
      <c r="W935" s="904"/>
      <c r="X935" s="904"/>
      <c r="Y935" s="904"/>
    </row>
    <row r="936" spans="1:25" x14ac:dyDescent="0.2">
      <c r="A936" s="903"/>
      <c r="B936" s="903"/>
      <c r="C936" s="903"/>
      <c r="D936" s="903"/>
      <c r="E936" s="903"/>
      <c r="R936" s="904"/>
      <c r="S936" s="904"/>
      <c r="T936" s="904"/>
      <c r="U936" s="904"/>
      <c r="V936" s="904"/>
      <c r="W936" s="904"/>
      <c r="X936" s="904"/>
      <c r="Y936" s="904"/>
    </row>
    <row r="937" spans="1:25" x14ac:dyDescent="0.2">
      <c r="A937" s="903"/>
      <c r="B937" s="903"/>
      <c r="C937" s="903"/>
      <c r="D937" s="903"/>
      <c r="E937" s="903"/>
      <c r="R937" s="904"/>
      <c r="S937" s="904"/>
      <c r="T937" s="904"/>
      <c r="U937" s="904"/>
      <c r="V937" s="904"/>
      <c r="W937" s="904"/>
      <c r="X937" s="904"/>
      <c r="Y937" s="904"/>
    </row>
    <row r="938" spans="1:25" x14ac:dyDescent="0.2">
      <c r="A938" s="903"/>
      <c r="B938" s="903"/>
      <c r="C938" s="903"/>
      <c r="D938" s="903"/>
      <c r="E938" s="903"/>
      <c r="R938" s="904"/>
      <c r="S938" s="904"/>
      <c r="T938" s="904"/>
      <c r="U938" s="904"/>
      <c r="V938" s="904"/>
      <c r="W938" s="904"/>
      <c r="X938" s="904"/>
      <c r="Y938" s="904"/>
    </row>
    <row r="939" spans="1:25" x14ac:dyDescent="0.2">
      <c r="A939" s="903"/>
      <c r="B939" s="903"/>
      <c r="C939" s="903"/>
      <c r="D939" s="903"/>
      <c r="E939" s="903"/>
      <c r="R939" s="904"/>
      <c r="S939" s="904"/>
      <c r="T939" s="904"/>
      <c r="U939" s="904"/>
      <c r="V939" s="904"/>
      <c r="W939" s="904"/>
      <c r="X939" s="904"/>
      <c r="Y939" s="904"/>
    </row>
    <row r="940" spans="1:25" x14ac:dyDescent="0.2">
      <c r="A940" s="903"/>
      <c r="B940" s="903"/>
      <c r="C940" s="903"/>
      <c r="D940" s="903"/>
      <c r="E940" s="903"/>
      <c r="R940" s="904"/>
      <c r="S940" s="904"/>
      <c r="T940" s="904"/>
      <c r="U940" s="904"/>
      <c r="V940" s="904"/>
      <c r="W940" s="904"/>
      <c r="X940" s="904"/>
      <c r="Y940" s="904"/>
    </row>
    <row r="941" spans="1:25" x14ac:dyDescent="0.2">
      <c r="A941" s="903"/>
      <c r="B941" s="903"/>
      <c r="C941" s="903"/>
      <c r="D941" s="903"/>
      <c r="E941" s="903"/>
      <c r="R941" s="904"/>
      <c r="S941" s="904"/>
      <c r="T941" s="904"/>
      <c r="U941" s="904"/>
      <c r="V941" s="904"/>
      <c r="W941" s="904"/>
      <c r="X941" s="904"/>
      <c r="Y941" s="904"/>
    </row>
    <row r="942" spans="1:25" x14ac:dyDescent="0.2">
      <c r="A942" s="903"/>
      <c r="B942" s="903"/>
      <c r="C942" s="903"/>
      <c r="D942" s="903"/>
      <c r="E942" s="903"/>
      <c r="R942" s="904"/>
      <c r="S942" s="904"/>
      <c r="T942" s="904"/>
      <c r="U942" s="904"/>
      <c r="V942" s="904"/>
      <c r="W942" s="904"/>
      <c r="X942" s="904"/>
      <c r="Y942" s="904"/>
    </row>
    <row r="943" spans="1:25" x14ac:dyDescent="0.2">
      <c r="A943" s="903"/>
      <c r="B943" s="903"/>
      <c r="C943" s="903"/>
      <c r="D943" s="903"/>
      <c r="E943" s="903"/>
      <c r="R943" s="904"/>
      <c r="S943" s="904"/>
      <c r="T943" s="904"/>
      <c r="U943" s="904"/>
      <c r="V943" s="904"/>
      <c r="W943" s="904"/>
      <c r="X943" s="904"/>
      <c r="Y943" s="904"/>
    </row>
    <row r="944" spans="1:25" x14ac:dyDescent="0.2">
      <c r="A944" s="903"/>
      <c r="B944" s="903"/>
      <c r="C944" s="903"/>
      <c r="D944" s="903"/>
      <c r="E944" s="903"/>
      <c r="R944" s="904"/>
      <c r="S944" s="904"/>
      <c r="T944" s="904"/>
      <c r="U944" s="904"/>
      <c r="V944" s="904"/>
      <c r="W944" s="904"/>
      <c r="X944" s="904"/>
      <c r="Y944" s="904"/>
    </row>
    <row r="945" spans="1:25" x14ac:dyDescent="0.2">
      <c r="A945" s="903"/>
      <c r="B945" s="903"/>
      <c r="C945" s="903"/>
      <c r="D945" s="903"/>
      <c r="E945" s="903"/>
      <c r="R945" s="904"/>
      <c r="S945" s="904"/>
      <c r="T945" s="904"/>
      <c r="U945" s="904"/>
      <c r="V945" s="904"/>
      <c r="W945" s="904"/>
      <c r="X945" s="904"/>
      <c r="Y945" s="904"/>
    </row>
    <row r="946" spans="1:25" x14ac:dyDescent="0.2">
      <c r="A946" s="903"/>
      <c r="B946" s="903"/>
      <c r="C946" s="903"/>
      <c r="D946" s="903"/>
      <c r="E946" s="903"/>
      <c r="R946" s="904"/>
      <c r="S946" s="904"/>
      <c r="T946" s="904"/>
      <c r="U946" s="904"/>
      <c r="V946" s="904"/>
      <c r="W946" s="904"/>
      <c r="X946" s="904"/>
      <c r="Y946" s="904"/>
    </row>
    <row r="947" spans="1:25" x14ac:dyDescent="0.2">
      <c r="A947" s="903"/>
      <c r="B947" s="903"/>
      <c r="C947" s="903"/>
      <c r="D947" s="903"/>
      <c r="E947" s="903"/>
      <c r="R947" s="904"/>
      <c r="S947" s="904"/>
      <c r="T947" s="904"/>
      <c r="U947" s="904"/>
      <c r="V947" s="904"/>
      <c r="W947" s="904"/>
      <c r="X947" s="904"/>
      <c r="Y947" s="904"/>
    </row>
    <row r="948" spans="1:25" x14ac:dyDescent="0.2">
      <c r="A948" s="903"/>
      <c r="B948" s="903"/>
      <c r="C948" s="903"/>
      <c r="D948" s="903"/>
      <c r="E948" s="903"/>
      <c r="R948" s="904"/>
      <c r="S948" s="904"/>
      <c r="T948" s="904"/>
      <c r="U948" s="904"/>
      <c r="V948" s="904"/>
      <c r="W948" s="904"/>
      <c r="X948" s="904"/>
      <c r="Y948" s="904"/>
    </row>
    <row r="949" spans="1:25" x14ac:dyDescent="0.2">
      <c r="A949" s="903"/>
      <c r="B949" s="903"/>
      <c r="C949" s="903"/>
      <c r="D949" s="903"/>
      <c r="E949" s="903"/>
      <c r="R949" s="904"/>
      <c r="S949" s="904"/>
      <c r="T949" s="904"/>
      <c r="U949" s="904"/>
      <c r="V949" s="904"/>
      <c r="W949" s="904"/>
      <c r="X949" s="904"/>
      <c r="Y949" s="904"/>
    </row>
    <row r="950" spans="1:25" x14ac:dyDescent="0.2">
      <c r="A950" s="903"/>
      <c r="B950" s="903"/>
      <c r="C950" s="903"/>
      <c r="D950" s="903"/>
      <c r="E950" s="903"/>
      <c r="R950" s="904"/>
      <c r="S950" s="904"/>
      <c r="T950" s="904"/>
      <c r="U950" s="904"/>
      <c r="V950" s="904"/>
      <c r="W950" s="904"/>
      <c r="X950" s="904"/>
      <c r="Y950" s="904"/>
    </row>
    <row r="951" spans="1:25" x14ac:dyDescent="0.2">
      <c r="A951" s="903"/>
      <c r="B951" s="903"/>
      <c r="C951" s="903"/>
      <c r="D951" s="903"/>
      <c r="E951" s="903"/>
      <c r="R951" s="904"/>
      <c r="S951" s="904"/>
      <c r="T951" s="904"/>
      <c r="U951" s="904"/>
      <c r="V951" s="904"/>
      <c r="W951" s="904"/>
      <c r="X951" s="904"/>
      <c r="Y951" s="904"/>
    </row>
    <row r="952" spans="1:25" x14ac:dyDescent="0.2">
      <c r="A952" s="903"/>
      <c r="B952" s="903"/>
      <c r="C952" s="903"/>
      <c r="D952" s="903"/>
      <c r="E952" s="903"/>
      <c r="R952" s="904"/>
      <c r="S952" s="904"/>
      <c r="T952" s="904"/>
      <c r="U952" s="904"/>
      <c r="V952" s="904"/>
      <c r="W952" s="904"/>
      <c r="X952" s="904"/>
      <c r="Y952" s="904"/>
    </row>
    <row r="953" spans="1:25" x14ac:dyDescent="0.2">
      <c r="A953" s="903"/>
      <c r="B953" s="903"/>
      <c r="C953" s="903"/>
      <c r="D953" s="903"/>
      <c r="E953" s="903"/>
      <c r="R953" s="904"/>
      <c r="S953" s="904"/>
      <c r="T953" s="904"/>
      <c r="U953" s="904"/>
      <c r="V953" s="904"/>
      <c r="W953" s="904"/>
      <c r="X953" s="904"/>
      <c r="Y953" s="904"/>
    </row>
    <row r="954" spans="1:25" x14ac:dyDescent="0.2">
      <c r="A954" s="903"/>
      <c r="B954" s="903"/>
      <c r="C954" s="903"/>
      <c r="D954" s="903"/>
      <c r="E954" s="903"/>
      <c r="R954" s="904"/>
      <c r="S954" s="904"/>
      <c r="T954" s="904"/>
      <c r="U954" s="904"/>
      <c r="V954" s="904"/>
      <c r="W954" s="904"/>
      <c r="X954" s="904"/>
      <c r="Y954" s="904"/>
    </row>
    <row r="955" spans="1:25" x14ac:dyDescent="0.2">
      <c r="A955" s="903"/>
      <c r="B955" s="903"/>
      <c r="C955" s="903"/>
      <c r="D955" s="903"/>
      <c r="E955" s="903"/>
      <c r="R955" s="904"/>
      <c r="S955" s="904"/>
      <c r="T955" s="904"/>
      <c r="U955" s="904"/>
      <c r="V955" s="904"/>
      <c r="W955" s="904"/>
      <c r="X955" s="904"/>
      <c r="Y955" s="904"/>
    </row>
    <row r="956" spans="1:25" x14ac:dyDescent="0.2">
      <c r="A956" s="903"/>
      <c r="B956" s="903"/>
      <c r="C956" s="903"/>
      <c r="D956" s="903"/>
      <c r="E956" s="903"/>
      <c r="R956" s="904"/>
      <c r="S956" s="904"/>
      <c r="T956" s="904"/>
      <c r="U956" s="904"/>
      <c r="V956" s="904"/>
      <c r="W956" s="904"/>
      <c r="X956" s="904"/>
      <c r="Y956" s="904"/>
    </row>
    <row r="957" spans="1:25" x14ac:dyDescent="0.2">
      <c r="A957" s="903"/>
      <c r="B957" s="903"/>
      <c r="C957" s="903"/>
      <c r="D957" s="903"/>
      <c r="E957" s="903"/>
      <c r="R957" s="904"/>
      <c r="S957" s="904"/>
      <c r="T957" s="904"/>
      <c r="U957" s="904"/>
      <c r="V957" s="904"/>
      <c r="W957" s="904"/>
      <c r="X957" s="904"/>
      <c r="Y957" s="904"/>
    </row>
    <row r="958" spans="1:25" x14ac:dyDescent="0.2">
      <c r="A958" s="903"/>
      <c r="B958" s="903"/>
      <c r="C958" s="903"/>
      <c r="D958" s="903"/>
      <c r="E958" s="903"/>
      <c r="R958" s="904"/>
      <c r="S958" s="904"/>
      <c r="T958" s="904"/>
      <c r="U958" s="904"/>
      <c r="V958" s="904"/>
      <c r="W958" s="904"/>
      <c r="X958" s="904"/>
      <c r="Y958" s="904"/>
    </row>
    <row r="959" spans="1:25" x14ac:dyDescent="0.2">
      <c r="A959" s="903"/>
      <c r="B959" s="903"/>
      <c r="C959" s="903"/>
      <c r="D959" s="903"/>
      <c r="E959" s="903"/>
      <c r="R959" s="904"/>
      <c r="S959" s="904"/>
      <c r="T959" s="904"/>
      <c r="U959" s="904"/>
      <c r="V959" s="904"/>
      <c r="W959" s="904"/>
      <c r="X959" s="904"/>
      <c r="Y959" s="904"/>
    </row>
    <row r="960" spans="1:25" x14ac:dyDescent="0.2">
      <c r="A960" s="903"/>
      <c r="B960" s="903"/>
      <c r="C960" s="903"/>
      <c r="D960" s="903"/>
      <c r="E960" s="903"/>
      <c r="R960" s="904"/>
      <c r="S960" s="904"/>
      <c r="T960" s="904"/>
      <c r="U960" s="904"/>
      <c r="V960" s="904"/>
      <c r="W960" s="904"/>
      <c r="X960" s="904"/>
      <c r="Y960" s="904"/>
    </row>
    <row r="961" spans="1:25" x14ac:dyDescent="0.2">
      <c r="A961" s="903"/>
      <c r="B961" s="903"/>
      <c r="C961" s="903"/>
      <c r="D961" s="903"/>
      <c r="E961" s="903"/>
      <c r="R961" s="904"/>
      <c r="S961" s="904"/>
      <c r="T961" s="904"/>
      <c r="U961" s="904"/>
      <c r="V961" s="904"/>
      <c r="W961" s="904"/>
      <c r="X961" s="904"/>
      <c r="Y961" s="904"/>
    </row>
    <row r="962" spans="1:25" x14ac:dyDescent="0.2">
      <c r="A962" s="903"/>
      <c r="B962" s="903"/>
      <c r="C962" s="903"/>
      <c r="D962" s="903"/>
      <c r="E962" s="903"/>
      <c r="R962" s="904"/>
      <c r="S962" s="904"/>
      <c r="T962" s="904"/>
      <c r="U962" s="904"/>
      <c r="V962" s="904"/>
      <c r="W962" s="904"/>
      <c r="X962" s="904"/>
      <c r="Y962" s="904"/>
    </row>
    <row r="963" spans="1:25" x14ac:dyDescent="0.2">
      <c r="A963" s="903"/>
      <c r="B963" s="903"/>
      <c r="C963" s="903"/>
      <c r="D963" s="903"/>
      <c r="E963" s="903"/>
      <c r="R963" s="904"/>
      <c r="S963" s="904"/>
      <c r="T963" s="904"/>
      <c r="U963" s="904"/>
      <c r="V963" s="904"/>
      <c r="W963" s="904"/>
      <c r="X963" s="904"/>
      <c r="Y963" s="904"/>
    </row>
    <row r="964" spans="1:25" x14ac:dyDescent="0.2">
      <c r="A964" s="903"/>
      <c r="B964" s="903"/>
      <c r="C964" s="903"/>
      <c r="D964" s="903"/>
      <c r="E964" s="903"/>
      <c r="R964" s="904"/>
      <c r="S964" s="904"/>
      <c r="T964" s="904"/>
      <c r="U964" s="904"/>
      <c r="V964" s="904"/>
      <c r="W964" s="904"/>
      <c r="X964" s="904"/>
      <c r="Y964" s="904"/>
    </row>
    <row r="965" spans="1:25" x14ac:dyDescent="0.2">
      <c r="A965" s="903"/>
      <c r="B965" s="903"/>
      <c r="C965" s="903"/>
      <c r="D965" s="903"/>
      <c r="E965" s="903"/>
      <c r="R965" s="904"/>
      <c r="S965" s="904"/>
      <c r="T965" s="904"/>
      <c r="U965" s="904"/>
      <c r="V965" s="904"/>
      <c r="W965" s="904"/>
      <c r="X965" s="904"/>
      <c r="Y965" s="904"/>
    </row>
    <row r="966" spans="1:25" x14ac:dyDescent="0.2">
      <c r="A966" s="903"/>
      <c r="B966" s="903"/>
      <c r="C966" s="903"/>
      <c r="D966" s="903"/>
      <c r="E966" s="903"/>
      <c r="R966" s="904"/>
      <c r="S966" s="904"/>
      <c r="T966" s="904"/>
      <c r="U966" s="904"/>
      <c r="V966" s="904"/>
      <c r="W966" s="904"/>
      <c r="X966" s="904"/>
      <c r="Y966" s="904"/>
    </row>
    <row r="967" spans="1:25" x14ac:dyDescent="0.2">
      <c r="A967" s="903"/>
      <c r="B967" s="903"/>
      <c r="C967" s="903"/>
      <c r="D967" s="903"/>
      <c r="E967" s="903"/>
      <c r="R967" s="904"/>
      <c r="S967" s="904"/>
      <c r="T967" s="904"/>
      <c r="U967" s="904"/>
      <c r="V967" s="904"/>
      <c r="W967" s="904"/>
      <c r="X967" s="904"/>
      <c r="Y967" s="904"/>
    </row>
    <row r="968" spans="1:25" x14ac:dyDescent="0.2">
      <c r="A968" s="903"/>
      <c r="B968" s="903"/>
      <c r="C968" s="903"/>
      <c r="D968" s="903"/>
      <c r="E968" s="903"/>
      <c r="R968" s="904"/>
      <c r="S968" s="904"/>
      <c r="T968" s="904"/>
      <c r="U968" s="904"/>
      <c r="V968" s="904"/>
      <c r="W968" s="904"/>
      <c r="X968" s="904"/>
      <c r="Y968" s="904"/>
    </row>
    <row r="969" spans="1:25" x14ac:dyDescent="0.2">
      <c r="A969" s="903"/>
      <c r="B969" s="903"/>
      <c r="C969" s="903"/>
      <c r="D969" s="903"/>
      <c r="E969" s="903"/>
      <c r="R969" s="904"/>
      <c r="S969" s="904"/>
      <c r="T969" s="904"/>
      <c r="U969" s="904"/>
      <c r="V969" s="904"/>
      <c r="W969" s="904"/>
      <c r="X969" s="904"/>
      <c r="Y969" s="904"/>
    </row>
    <row r="970" spans="1:25" x14ac:dyDescent="0.2">
      <c r="A970" s="903"/>
      <c r="B970" s="903"/>
      <c r="C970" s="903"/>
      <c r="D970" s="903"/>
      <c r="E970" s="903"/>
      <c r="R970" s="904"/>
      <c r="S970" s="904"/>
      <c r="T970" s="904"/>
      <c r="U970" s="904"/>
      <c r="V970" s="904"/>
      <c r="W970" s="904"/>
      <c r="X970" s="904"/>
      <c r="Y970" s="904"/>
    </row>
    <row r="971" spans="1:25" x14ac:dyDescent="0.2">
      <c r="A971" s="903"/>
      <c r="B971" s="903"/>
      <c r="C971" s="903"/>
      <c r="D971" s="903"/>
      <c r="E971" s="903"/>
      <c r="R971" s="904"/>
      <c r="S971" s="904"/>
      <c r="T971" s="904"/>
      <c r="U971" s="904"/>
      <c r="V971" s="904"/>
      <c r="W971" s="904"/>
      <c r="X971" s="904"/>
      <c r="Y971" s="904"/>
    </row>
    <row r="972" spans="1:25" x14ac:dyDescent="0.2">
      <c r="A972" s="903"/>
      <c r="B972" s="903"/>
      <c r="C972" s="903"/>
      <c r="D972" s="903"/>
      <c r="E972" s="903"/>
      <c r="R972" s="904"/>
      <c r="S972" s="904"/>
      <c r="T972" s="904"/>
      <c r="U972" s="904"/>
      <c r="V972" s="904"/>
      <c r="W972" s="904"/>
      <c r="X972" s="904"/>
      <c r="Y972" s="904"/>
    </row>
    <row r="973" spans="1:25" x14ac:dyDescent="0.2">
      <c r="A973" s="903"/>
      <c r="B973" s="903"/>
      <c r="C973" s="903"/>
      <c r="D973" s="903"/>
      <c r="E973" s="903"/>
      <c r="R973" s="904"/>
      <c r="S973" s="904"/>
      <c r="T973" s="904"/>
      <c r="U973" s="904"/>
      <c r="V973" s="904"/>
      <c r="W973" s="904"/>
      <c r="X973" s="904"/>
      <c r="Y973" s="904"/>
    </row>
    <row r="974" spans="1:25" x14ac:dyDescent="0.2">
      <c r="A974" s="903"/>
      <c r="B974" s="903"/>
      <c r="C974" s="903"/>
      <c r="D974" s="903"/>
      <c r="E974" s="903"/>
      <c r="R974" s="904"/>
      <c r="S974" s="904"/>
      <c r="T974" s="904"/>
      <c r="U974" s="904"/>
      <c r="V974" s="904"/>
      <c r="W974" s="904"/>
      <c r="X974" s="904"/>
      <c r="Y974" s="904"/>
    </row>
    <row r="975" spans="1:25" x14ac:dyDescent="0.2">
      <c r="A975" s="903"/>
      <c r="B975" s="903"/>
      <c r="C975" s="903"/>
      <c r="D975" s="903"/>
      <c r="E975" s="903"/>
      <c r="R975" s="904"/>
      <c r="S975" s="904"/>
      <c r="T975" s="904"/>
      <c r="U975" s="904"/>
      <c r="V975" s="904"/>
      <c r="W975" s="904"/>
      <c r="X975" s="904"/>
      <c r="Y975" s="904"/>
    </row>
    <row r="976" spans="1:25" x14ac:dyDescent="0.2">
      <c r="A976" s="903"/>
      <c r="B976" s="903"/>
      <c r="C976" s="903"/>
      <c r="D976" s="903"/>
      <c r="E976" s="903"/>
      <c r="R976" s="904"/>
      <c r="S976" s="904"/>
      <c r="T976" s="904"/>
      <c r="U976" s="904"/>
      <c r="V976" s="904"/>
      <c r="W976" s="904"/>
      <c r="X976" s="904"/>
      <c r="Y976" s="904"/>
    </row>
    <row r="977" spans="1:25" x14ac:dyDescent="0.2">
      <c r="A977" s="903"/>
      <c r="B977" s="903"/>
      <c r="C977" s="903"/>
      <c r="D977" s="903"/>
      <c r="E977" s="903"/>
      <c r="R977" s="904"/>
      <c r="S977" s="904"/>
      <c r="T977" s="904"/>
      <c r="U977" s="904"/>
      <c r="V977" s="904"/>
      <c r="W977" s="904"/>
      <c r="X977" s="904"/>
      <c r="Y977" s="904"/>
    </row>
    <row r="978" spans="1:25" x14ac:dyDescent="0.2">
      <c r="A978" s="903"/>
      <c r="B978" s="903"/>
      <c r="C978" s="903"/>
      <c r="D978" s="903"/>
      <c r="E978" s="903"/>
      <c r="R978" s="904"/>
      <c r="S978" s="904"/>
      <c r="T978" s="904"/>
      <c r="U978" s="904"/>
      <c r="V978" s="904"/>
      <c r="W978" s="904"/>
      <c r="X978" s="904"/>
      <c r="Y978" s="904"/>
    </row>
    <row r="979" spans="1:25" x14ac:dyDescent="0.2">
      <c r="A979" s="903"/>
      <c r="B979" s="903"/>
      <c r="C979" s="903"/>
      <c r="D979" s="903"/>
      <c r="E979" s="903"/>
      <c r="R979" s="904"/>
      <c r="S979" s="904"/>
      <c r="T979" s="904"/>
      <c r="U979" s="904"/>
      <c r="V979" s="904"/>
      <c r="W979" s="904"/>
      <c r="X979" s="904"/>
      <c r="Y979" s="904"/>
    </row>
    <row r="980" spans="1:25" x14ac:dyDescent="0.2">
      <c r="A980" s="903"/>
      <c r="B980" s="903"/>
      <c r="C980" s="903"/>
      <c r="D980" s="903"/>
      <c r="E980" s="903"/>
      <c r="R980" s="904"/>
      <c r="S980" s="904"/>
      <c r="T980" s="904"/>
      <c r="U980" s="904"/>
      <c r="V980" s="904"/>
      <c r="W980" s="904"/>
      <c r="X980" s="904"/>
      <c r="Y980" s="904"/>
    </row>
    <row r="981" spans="1:25" x14ac:dyDescent="0.2">
      <c r="A981" s="903"/>
      <c r="B981" s="903"/>
      <c r="C981" s="903"/>
      <c r="D981" s="903"/>
      <c r="E981" s="903"/>
      <c r="R981" s="904"/>
      <c r="S981" s="904"/>
      <c r="T981" s="904"/>
      <c r="U981" s="904"/>
      <c r="V981" s="904"/>
      <c r="W981" s="904"/>
      <c r="X981" s="904"/>
      <c r="Y981" s="904"/>
    </row>
    <row r="982" spans="1:25" x14ac:dyDescent="0.2">
      <c r="A982" s="903"/>
      <c r="B982" s="903"/>
      <c r="C982" s="903"/>
      <c r="D982" s="903"/>
      <c r="E982" s="903"/>
      <c r="R982" s="904"/>
      <c r="S982" s="904"/>
      <c r="T982" s="904"/>
      <c r="U982" s="904"/>
      <c r="V982" s="904"/>
      <c r="W982" s="904"/>
      <c r="X982" s="904"/>
      <c r="Y982" s="904"/>
    </row>
    <row r="983" spans="1:25" x14ac:dyDescent="0.2">
      <c r="A983" s="903"/>
      <c r="B983" s="903"/>
      <c r="C983" s="903"/>
      <c r="D983" s="903"/>
      <c r="E983" s="903"/>
      <c r="R983" s="904"/>
      <c r="S983" s="904"/>
      <c r="T983" s="904"/>
      <c r="U983" s="904"/>
      <c r="V983" s="904"/>
      <c r="W983" s="904"/>
      <c r="X983" s="904"/>
      <c r="Y983" s="904"/>
    </row>
    <row r="984" spans="1:25" x14ac:dyDescent="0.2">
      <c r="A984" s="903"/>
      <c r="B984" s="903"/>
      <c r="C984" s="903"/>
      <c r="D984" s="903"/>
      <c r="E984" s="903"/>
      <c r="R984" s="904"/>
      <c r="S984" s="904"/>
      <c r="T984" s="904"/>
      <c r="U984" s="904"/>
      <c r="V984" s="904"/>
      <c r="W984" s="904"/>
      <c r="X984" s="904"/>
      <c r="Y984" s="904"/>
    </row>
    <row r="985" spans="1:25" x14ac:dyDescent="0.2">
      <c r="A985" s="903"/>
      <c r="B985" s="903"/>
      <c r="C985" s="903"/>
      <c r="D985" s="903"/>
      <c r="E985" s="903"/>
      <c r="R985" s="904"/>
      <c r="S985" s="904"/>
      <c r="T985" s="904"/>
      <c r="U985" s="904"/>
      <c r="V985" s="904"/>
      <c r="W985" s="904"/>
      <c r="X985" s="904"/>
      <c r="Y985" s="904"/>
    </row>
    <row r="986" spans="1:25" x14ac:dyDescent="0.2">
      <c r="A986" s="903"/>
      <c r="B986" s="903"/>
      <c r="C986" s="903"/>
      <c r="D986" s="903"/>
      <c r="E986" s="903"/>
      <c r="R986" s="904"/>
      <c r="S986" s="904"/>
      <c r="T986" s="904"/>
      <c r="U986" s="904"/>
      <c r="V986" s="904"/>
      <c r="W986" s="904"/>
      <c r="X986" s="904"/>
      <c r="Y986" s="904"/>
    </row>
    <row r="987" spans="1:25" x14ac:dyDescent="0.2">
      <c r="A987" s="903"/>
      <c r="B987" s="903"/>
      <c r="C987" s="903"/>
      <c r="D987" s="903"/>
      <c r="E987" s="903"/>
      <c r="R987" s="904"/>
      <c r="S987" s="904"/>
      <c r="T987" s="904"/>
      <c r="U987" s="904"/>
      <c r="V987" s="904"/>
      <c r="W987" s="904"/>
      <c r="X987" s="904"/>
      <c r="Y987" s="904"/>
    </row>
    <row r="988" spans="1:25" x14ac:dyDescent="0.2">
      <c r="A988" s="903"/>
      <c r="B988" s="903"/>
      <c r="C988" s="903"/>
      <c r="D988" s="903"/>
      <c r="E988" s="903"/>
      <c r="R988" s="904"/>
      <c r="S988" s="904"/>
      <c r="T988" s="904"/>
      <c r="U988" s="904"/>
      <c r="V988" s="904"/>
      <c r="W988" s="904"/>
      <c r="X988" s="904"/>
      <c r="Y988" s="904"/>
    </row>
    <row r="989" spans="1:25" x14ac:dyDescent="0.2">
      <c r="A989" s="903"/>
      <c r="B989" s="903"/>
      <c r="C989" s="903"/>
      <c r="D989" s="903"/>
      <c r="E989" s="903"/>
      <c r="R989" s="904"/>
      <c r="S989" s="904"/>
      <c r="T989" s="904"/>
      <c r="U989" s="904"/>
      <c r="V989" s="904"/>
      <c r="W989" s="904"/>
      <c r="X989" s="904"/>
      <c r="Y989" s="904"/>
    </row>
    <row r="990" spans="1:25" x14ac:dyDescent="0.2">
      <c r="A990" s="903"/>
      <c r="B990" s="903"/>
      <c r="C990" s="903"/>
      <c r="D990" s="903"/>
      <c r="E990" s="903"/>
      <c r="R990" s="904"/>
      <c r="S990" s="904"/>
      <c r="T990" s="904"/>
      <c r="U990" s="904"/>
      <c r="V990" s="904"/>
      <c r="W990" s="904"/>
      <c r="X990" s="904"/>
      <c r="Y990" s="904"/>
    </row>
    <row r="991" spans="1:25" x14ac:dyDescent="0.2">
      <c r="A991" s="903"/>
      <c r="B991" s="903"/>
      <c r="C991" s="903"/>
      <c r="D991" s="903"/>
      <c r="E991" s="903"/>
      <c r="R991" s="904"/>
      <c r="S991" s="904"/>
      <c r="T991" s="904"/>
      <c r="U991" s="904"/>
      <c r="V991" s="904"/>
      <c r="W991" s="904"/>
      <c r="X991" s="904"/>
      <c r="Y991" s="904"/>
    </row>
    <row r="992" spans="1:25" x14ac:dyDescent="0.2">
      <c r="A992" s="903"/>
      <c r="B992" s="903"/>
      <c r="C992" s="903"/>
      <c r="D992" s="903"/>
      <c r="E992" s="903"/>
      <c r="R992" s="904"/>
      <c r="S992" s="904"/>
      <c r="T992" s="904"/>
      <c r="U992" s="904"/>
      <c r="V992" s="904"/>
      <c r="W992" s="904"/>
      <c r="X992" s="904"/>
      <c r="Y992" s="904"/>
    </row>
    <row r="993" spans="1:25" x14ac:dyDescent="0.2">
      <c r="A993" s="903"/>
      <c r="B993" s="903"/>
      <c r="C993" s="903"/>
      <c r="D993" s="903"/>
      <c r="E993" s="903"/>
      <c r="R993" s="904"/>
      <c r="S993" s="904"/>
      <c r="T993" s="904"/>
      <c r="U993" s="904"/>
      <c r="V993" s="904"/>
      <c r="W993" s="904"/>
      <c r="X993" s="904"/>
      <c r="Y993" s="904"/>
    </row>
    <row r="994" spans="1:25" x14ac:dyDescent="0.2">
      <c r="A994" s="903"/>
      <c r="B994" s="903"/>
      <c r="C994" s="903"/>
      <c r="D994" s="903"/>
      <c r="E994" s="903"/>
      <c r="R994" s="904"/>
      <c r="S994" s="904"/>
      <c r="T994" s="904"/>
      <c r="U994" s="904"/>
      <c r="V994" s="904"/>
      <c r="W994" s="904"/>
      <c r="X994" s="904"/>
      <c r="Y994" s="904"/>
    </row>
    <row r="995" spans="1:25" x14ac:dyDescent="0.2">
      <c r="A995" s="903"/>
      <c r="B995" s="903"/>
      <c r="C995" s="903"/>
      <c r="D995" s="903"/>
      <c r="E995" s="903"/>
      <c r="R995" s="904"/>
      <c r="S995" s="904"/>
      <c r="T995" s="904"/>
      <c r="U995" s="904"/>
      <c r="V995" s="904"/>
      <c r="W995" s="904"/>
      <c r="X995" s="904"/>
      <c r="Y995" s="904"/>
    </row>
    <row r="996" spans="1:25" x14ac:dyDescent="0.2">
      <c r="A996" s="903"/>
      <c r="B996" s="903"/>
      <c r="C996" s="903"/>
      <c r="D996" s="903"/>
      <c r="E996" s="903"/>
      <c r="R996" s="904"/>
      <c r="S996" s="904"/>
      <c r="T996" s="904"/>
      <c r="U996" s="904"/>
      <c r="V996" s="904"/>
      <c r="W996" s="904"/>
      <c r="X996" s="904"/>
      <c r="Y996" s="904"/>
    </row>
    <row r="997" spans="1:25" x14ac:dyDescent="0.2">
      <c r="A997" s="903"/>
      <c r="B997" s="903"/>
      <c r="C997" s="903"/>
      <c r="D997" s="903"/>
      <c r="E997" s="903"/>
      <c r="R997" s="904"/>
      <c r="S997" s="904"/>
      <c r="T997" s="904"/>
      <c r="U997" s="904"/>
      <c r="V997" s="904"/>
      <c r="W997" s="904"/>
      <c r="X997" s="904"/>
      <c r="Y997" s="904"/>
    </row>
    <row r="998" spans="1:25" x14ac:dyDescent="0.2">
      <c r="A998" s="903"/>
      <c r="B998" s="903"/>
      <c r="C998" s="903"/>
      <c r="D998" s="903"/>
      <c r="E998" s="903"/>
      <c r="R998" s="904"/>
      <c r="S998" s="904"/>
      <c r="T998" s="904"/>
      <c r="U998" s="904"/>
      <c r="V998" s="904"/>
      <c r="W998" s="904"/>
      <c r="X998" s="904"/>
      <c r="Y998" s="904"/>
    </row>
    <row r="999" spans="1:25" x14ac:dyDescent="0.2">
      <c r="A999" s="903"/>
      <c r="B999" s="903"/>
      <c r="C999" s="903"/>
      <c r="D999" s="903"/>
      <c r="E999" s="903"/>
      <c r="R999" s="904"/>
      <c r="S999" s="904"/>
      <c r="T999" s="904"/>
      <c r="U999" s="904"/>
      <c r="V999" s="904"/>
      <c r="W999" s="904"/>
      <c r="X999" s="904"/>
      <c r="Y999" s="904"/>
    </row>
    <row r="1000" spans="1:25" x14ac:dyDescent="0.2">
      <c r="A1000" s="903"/>
      <c r="B1000" s="903"/>
      <c r="C1000" s="903"/>
      <c r="D1000" s="903"/>
      <c r="E1000" s="903"/>
      <c r="R1000" s="904"/>
      <c r="S1000" s="904"/>
      <c r="T1000" s="904"/>
      <c r="U1000" s="904"/>
      <c r="V1000" s="904"/>
      <c r="W1000" s="904"/>
      <c r="X1000" s="904"/>
      <c r="Y1000" s="904"/>
    </row>
    <row r="1001" spans="1:25" x14ac:dyDescent="0.2">
      <c r="A1001" s="903"/>
      <c r="B1001" s="903"/>
      <c r="C1001" s="903"/>
      <c r="D1001" s="903"/>
      <c r="E1001" s="903"/>
      <c r="R1001" s="904"/>
      <c r="S1001" s="904"/>
      <c r="T1001" s="904"/>
      <c r="U1001" s="904"/>
      <c r="V1001" s="904"/>
      <c r="W1001" s="904"/>
      <c r="X1001" s="904"/>
      <c r="Y1001" s="904"/>
    </row>
    <row r="1002" spans="1:25" x14ac:dyDescent="0.2">
      <c r="A1002" s="903"/>
      <c r="B1002" s="903"/>
      <c r="C1002" s="903"/>
      <c r="D1002" s="903"/>
      <c r="E1002" s="903"/>
      <c r="R1002" s="904"/>
      <c r="S1002" s="904"/>
      <c r="T1002" s="904"/>
      <c r="U1002" s="904"/>
      <c r="V1002" s="904"/>
      <c r="W1002" s="904"/>
      <c r="X1002" s="904"/>
      <c r="Y1002" s="904"/>
    </row>
    <row r="1003" spans="1:25" x14ac:dyDescent="0.2">
      <c r="A1003" s="903"/>
      <c r="B1003" s="903"/>
      <c r="C1003" s="903"/>
      <c r="D1003" s="903"/>
      <c r="E1003" s="903"/>
      <c r="R1003" s="904"/>
      <c r="S1003" s="904"/>
      <c r="T1003" s="904"/>
      <c r="U1003" s="904"/>
      <c r="V1003" s="904"/>
      <c r="W1003" s="904"/>
      <c r="X1003" s="904"/>
      <c r="Y1003" s="904"/>
    </row>
    <row r="1004" spans="1:25" x14ac:dyDescent="0.2">
      <c r="A1004" s="903"/>
      <c r="B1004" s="903"/>
      <c r="C1004" s="903"/>
      <c r="D1004" s="903"/>
      <c r="E1004" s="903"/>
      <c r="R1004" s="904"/>
      <c r="S1004" s="904"/>
      <c r="T1004" s="904"/>
      <c r="U1004" s="904"/>
      <c r="V1004" s="904"/>
      <c r="W1004" s="904"/>
      <c r="X1004" s="904"/>
      <c r="Y1004" s="904"/>
    </row>
    <row r="1005" spans="1:25" x14ac:dyDescent="0.2">
      <c r="A1005" s="903"/>
      <c r="B1005" s="903"/>
      <c r="C1005" s="903"/>
      <c r="D1005" s="903"/>
      <c r="E1005" s="903"/>
      <c r="R1005" s="904"/>
      <c r="S1005" s="904"/>
      <c r="T1005" s="904"/>
      <c r="U1005" s="904"/>
      <c r="V1005" s="904"/>
      <c r="W1005" s="904"/>
      <c r="X1005" s="904"/>
      <c r="Y1005" s="904"/>
    </row>
    <row r="1006" spans="1:25" x14ac:dyDescent="0.2">
      <c r="A1006" s="903"/>
      <c r="B1006" s="903"/>
      <c r="C1006" s="903"/>
      <c r="D1006" s="903"/>
      <c r="E1006" s="903"/>
      <c r="R1006" s="904"/>
      <c r="S1006" s="904"/>
      <c r="T1006" s="904"/>
      <c r="U1006" s="904"/>
      <c r="V1006" s="904"/>
      <c r="W1006" s="904"/>
      <c r="X1006" s="904"/>
      <c r="Y1006" s="904"/>
    </row>
    <row r="1007" spans="1:25" x14ac:dyDescent="0.2">
      <c r="A1007" s="903"/>
      <c r="B1007" s="903"/>
      <c r="C1007" s="903"/>
      <c r="D1007" s="903"/>
      <c r="E1007" s="903"/>
      <c r="R1007" s="904"/>
      <c r="S1007" s="904"/>
      <c r="T1007" s="904"/>
      <c r="U1007" s="904"/>
      <c r="V1007" s="904"/>
      <c r="W1007" s="904"/>
      <c r="X1007" s="904"/>
      <c r="Y1007" s="904"/>
    </row>
    <row r="1008" spans="1:25" x14ac:dyDescent="0.2">
      <c r="A1008" s="903"/>
      <c r="B1008" s="903"/>
      <c r="C1008" s="903"/>
      <c r="D1008" s="903"/>
      <c r="E1008" s="903"/>
      <c r="R1008" s="904"/>
      <c r="S1008" s="904"/>
      <c r="T1008" s="904"/>
      <c r="U1008" s="904"/>
      <c r="V1008" s="904"/>
      <c r="W1008" s="904"/>
      <c r="X1008" s="904"/>
      <c r="Y1008" s="904"/>
    </row>
    <row r="1009" spans="1:25" x14ac:dyDescent="0.2">
      <c r="A1009" s="903"/>
      <c r="B1009" s="903"/>
      <c r="C1009" s="903"/>
      <c r="D1009" s="903"/>
      <c r="E1009" s="903"/>
      <c r="R1009" s="904"/>
      <c r="S1009" s="904"/>
      <c r="T1009" s="904"/>
      <c r="U1009" s="904"/>
      <c r="V1009" s="904"/>
      <c r="W1009" s="904"/>
      <c r="X1009" s="904"/>
      <c r="Y1009" s="904"/>
    </row>
    <row r="1010" spans="1:25" x14ac:dyDescent="0.2">
      <c r="A1010" s="903"/>
      <c r="B1010" s="903"/>
      <c r="C1010" s="903"/>
      <c r="D1010" s="903"/>
      <c r="E1010" s="903"/>
      <c r="R1010" s="904"/>
      <c r="S1010" s="904"/>
      <c r="T1010" s="904"/>
      <c r="U1010" s="904"/>
      <c r="V1010" s="904"/>
      <c r="W1010" s="904"/>
      <c r="X1010" s="904"/>
      <c r="Y1010" s="904"/>
    </row>
    <row r="1011" spans="1:25" x14ac:dyDescent="0.2">
      <c r="A1011" s="903"/>
      <c r="B1011" s="903"/>
      <c r="C1011" s="903"/>
      <c r="D1011" s="903"/>
      <c r="E1011" s="903"/>
      <c r="R1011" s="904"/>
      <c r="S1011" s="904"/>
      <c r="T1011" s="904"/>
      <c r="U1011" s="904"/>
      <c r="V1011" s="904"/>
      <c r="W1011" s="904"/>
      <c r="X1011" s="904"/>
      <c r="Y1011" s="904"/>
    </row>
    <row r="1012" spans="1:25" x14ac:dyDescent="0.2">
      <c r="A1012" s="903"/>
      <c r="B1012" s="903"/>
      <c r="C1012" s="903"/>
      <c r="D1012" s="903"/>
      <c r="E1012" s="903"/>
      <c r="R1012" s="904"/>
      <c r="S1012" s="904"/>
      <c r="T1012" s="904"/>
      <c r="U1012" s="904"/>
      <c r="V1012" s="904"/>
      <c r="W1012" s="904"/>
      <c r="X1012" s="904"/>
      <c r="Y1012" s="904"/>
    </row>
    <row r="1013" spans="1:25" x14ac:dyDescent="0.2">
      <c r="A1013" s="903"/>
      <c r="B1013" s="903"/>
      <c r="C1013" s="903"/>
      <c r="D1013" s="903"/>
      <c r="E1013" s="903"/>
      <c r="R1013" s="904"/>
      <c r="S1013" s="904"/>
      <c r="T1013" s="904"/>
      <c r="U1013" s="904"/>
      <c r="V1013" s="904"/>
      <c r="W1013" s="904"/>
      <c r="X1013" s="904"/>
      <c r="Y1013" s="904"/>
    </row>
    <row r="1014" spans="1:25" x14ac:dyDescent="0.2">
      <c r="A1014" s="903"/>
      <c r="B1014" s="903"/>
      <c r="C1014" s="903"/>
      <c r="D1014" s="903"/>
      <c r="E1014" s="903"/>
      <c r="R1014" s="904"/>
      <c r="S1014" s="904"/>
      <c r="T1014" s="904"/>
      <c r="U1014" s="904"/>
      <c r="V1014" s="904"/>
      <c r="W1014" s="904"/>
      <c r="X1014" s="904"/>
      <c r="Y1014" s="904"/>
    </row>
    <row r="1015" spans="1:25" x14ac:dyDescent="0.2">
      <c r="A1015" s="903"/>
      <c r="B1015" s="903"/>
      <c r="C1015" s="903"/>
      <c r="D1015" s="903"/>
      <c r="E1015" s="903"/>
      <c r="R1015" s="904"/>
      <c r="S1015" s="904"/>
      <c r="T1015" s="904"/>
      <c r="U1015" s="904"/>
      <c r="V1015" s="904"/>
      <c r="W1015" s="904"/>
      <c r="X1015" s="904"/>
      <c r="Y1015" s="904"/>
    </row>
    <row r="1016" spans="1:25" x14ac:dyDescent="0.2">
      <c r="A1016" s="903"/>
      <c r="B1016" s="903"/>
      <c r="C1016" s="903"/>
      <c r="D1016" s="903"/>
      <c r="E1016" s="903"/>
      <c r="R1016" s="904"/>
      <c r="S1016" s="904"/>
      <c r="T1016" s="904"/>
      <c r="U1016" s="904"/>
      <c r="V1016" s="904"/>
      <c r="W1016" s="904"/>
      <c r="X1016" s="904"/>
      <c r="Y1016" s="904"/>
    </row>
    <row r="1017" spans="1:25" x14ac:dyDescent="0.2">
      <c r="A1017" s="903"/>
      <c r="B1017" s="903"/>
      <c r="C1017" s="903"/>
      <c r="D1017" s="903"/>
      <c r="E1017" s="903"/>
      <c r="R1017" s="904"/>
      <c r="S1017" s="904"/>
      <c r="T1017" s="904"/>
      <c r="U1017" s="904"/>
      <c r="V1017" s="904"/>
      <c r="W1017" s="904"/>
      <c r="X1017" s="904"/>
      <c r="Y1017" s="904"/>
    </row>
    <row r="1018" spans="1:25" x14ac:dyDescent="0.2">
      <c r="A1018" s="903"/>
      <c r="B1018" s="903"/>
      <c r="C1018" s="903"/>
      <c r="D1018" s="903"/>
      <c r="E1018" s="903"/>
      <c r="R1018" s="904"/>
      <c r="S1018" s="904"/>
      <c r="T1018" s="904"/>
      <c r="U1018" s="904"/>
      <c r="V1018" s="904"/>
      <c r="W1018" s="904"/>
      <c r="X1018" s="904"/>
      <c r="Y1018" s="904"/>
    </row>
    <row r="1019" spans="1:25" x14ac:dyDescent="0.2">
      <c r="A1019" s="903"/>
      <c r="B1019" s="903"/>
      <c r="C1019" s="903"/>
      <c r="D1019" s="903"/>
      <c r="E1019" s="903"/>
      <c r="R1019" s="904"/>
      <c r="S1019" s="904"/>
      <c r="T1019" s="904"/>
      <c r="U1019" s="904"/>
      <c r="V1019" s="904"/>
      <c r="W1019" s="904"/>
      <c r="X1019" s="904"/>
      <c r="Y1019" s="904"/>
    </row>
    <row r="1020" spans="1:25" x14ac:dyDescent="0.2">
      <c r="A1020" s="903"/>
      <c r="B1020" s="903"/>
      <c r="C1020" s="903"/>
      <c r="D1020" s="903"/>
      <c r="E1020" s="903"/>
      <c r="R1020" s="904"/>
      <c r="S1020" s="904"/>
      <c r="T1020" s="904"/>
      <c r="U1020" s="904"/>
      <c r="V1020" s="904"/>
      <c r="W1020" s="904"/>
      <c r="X1020" s="904"/>
      <c r="Y1020" s="904"/>
    </row>
    <row r="1021" spans="1:25" x14ac:dyDescent="0.2">
      <c r="A1021" s="903"/>
      <c r="B1021" s="903"/>
      <c r="C1021" s="903"/>
      <c r="D1021" s="903"/>
      <c r="E1021" s="903"/>
      <c r="R1021" s="904"/>
      <c r="S1021" s="904"/>
      <c r="T1021" s="904"/>
      <c r="U1021" s="904"/>
      <c r="V1021" s="904"/>
      <c r="W1021" s="904"/>
      <c r="X1021" s="904"/>
      <c r="Y1021" s="904"/>
    </row>
    <row r="1022" spans="1:25" x14ac:dyDescent="0.2">
      <c r="A1022" s="903"/>
      <c r="B1022" s="903"/>
      <c r="C1022" s="903"/>
      <c r="D1022" s="903"/>
      <c r="E1022" s="903"/>
      <c r="R1022" s="904"/>
      <c r="S1022" s="904"/>
      <c r="T1022" s="904"/>
      <c r="U1022" s="904"/>
      <c r="V1022" s="904"/>
      <c r="W1022" s="904"/>
      <c r="X1022" s="904"/>
      <c r="Y1022" s="904"/>
    </row>
    <row r="1023" spans="1:25" x14ac:dyDescent="0.2">
      <c r="A1023" s="903"/>
      <c r="B1023" s="903"/>
      <c r="C1023" s="903"/>
      <c r="D1023" s="903"/>
      <c r="E1023" s="903"/>
      <c r="R1023" s="904"/>
      <c r="S1023" s="904"/>
      <c r="T1023" s="904"/>
      <c r="U1023" s="904"/>
      <c r="V1023" s="904"/>
      <c r="W1023" s="904"/>
      <c r="X1023" s="904"/>
      <c r="Y1023" s="904"/>
    </row>
    <row r="1024" spans="1:25" x14ac:dyDescent="0.2">
      <c r="A1024" s="903"/>
      <c r="B1024" s="903"/>
      <c r="C1024" s="903"/>
      <c r="D1024" s="903"/>
      <c r="E1024" s="903"/>
      <c r="R1024" s="904"/>
      <c r="S1024" s="904"/>
      <c r="T1024" s="904"/>
      <c r="U1024" s="904"/>
      <c r="V1024" s="904"/>
      <c r="W1024" s="904"/>
      <c r="X1024" s="904"/>
      <c r="Y1024" s="904"/>
    </row>
    <row r="1025" spans="1:25" x14ac:dyDescent="0.2">
      <c r="A1025" s="903"/>
      <c r="B1025" s="903"/>
      <c r="C1025" s="903"/>
      <c r="D1025" s="903"/>
      <c r="E1025" s="903"/>
      <c r="R1025" s="904"/>
      <c r="S1025" s="904"/>
      <c r="T1025" s="904"/>
      <c r="U1025" s="904"/>
      <c r="V1025" s="904"/>
      <c r="W1025" s="904"/>
      <c r="X1025" s="904"/>
      <c r="Y1025" s="904"/>
    </row>
    <row r="1026" spans="1:25" x14ac:dyDescent="0.2">
      <c r="A1026" s="903"/>
      <c r="B1026" s="903"/>
      <c r="C1026" s="903"/>
      <c r="D1026" s="903"/>
      <c r="E1026" s="903"/>
      <c r="R1026" s="904"/>
      <c r="S1026" s="904"/>
      <c r="T1026" s="904"/>
      <c r="U1026" s="904"/>
      <c r="V1026" s="904"/>
      <c r="W1026" s="904"/>
      <c r="X1026" s="904"/>
      <c r="Y1026" s="904"/>
    </row>
    <row r="1027" spans="1:25" x14ac:dyDescent="0.2">
      <c r="A1027" s="903"/>
      <c r="B1027" s="903"/>
      <c r="C1027" s="903"/>
      <c r="D1027" s="903"/>
      <c r="E1027" s="903"/>
      <c r="R1027" s="904"/>
      <c r="S1027" s="904"/>
      <c r="T1027" s="904"/>
      <c r="U1027" s="904"/>
      <c r="V1027" s="904"/>
      <c r="W1027" s="904"/>
      <c r="X1027" s="904"/>
      <c r="Y1027" s="904"/>
    </row>
    <row r="1028" spans="1:25" x14ac:dyDescent="0.2">
      <c r="A1028" s="903"/>
      <c r="B1028" s="903"/>
      <c r="C1028" s="903"/>
      <c r="D1028" s="903"/>
      <c r="E1028" s="903"/>
      <c r="R1028" s="904"/>
      <c r="S1028" s="904"/>
      <c r="T1028" s="904"/>
      <c r="U1028" s="904"/>
      <c r="V1028" s="904"/>
      <c r="W1028" s="904"/>
      <c r="X1028" s="904"/>
      <c r="Y1028" s="904"/>
    </row>
    <row r="1029" spans="1:25" x14ac:dyDescent="0.2">
      <c r="A1029" s="903"/>
      <c r="B1029" s="903"/>
      <c r="C1029" s="903"/>
      <c r="D1029" s="903"/>
      <c r="E1029" s="903"/>
      <c r="R1029" s="904"/>
      <c r="S1029" s="904"/>
      <c r="T1029" s="904"/>
      <c r="U1029" s="904"/>
      <c r="V1029" s="904"/>
      <c r="W1029" s="904"/>
      <c r="X1029" s="904"/>
      <c r="Y1029" s="904"/>
    </row>
    <row r="1030" spans="1:25" x14ac:dyDescent="0.2">
      <c r="A1030" s="903"/>
      <c r="B1030" s="903"/>
      <c r="C1030" s="903"/>
      <c r="D1030" s="903"/>
      <c r="E1030" s="903"/>
      <c r="R1030" s="904"/>
      <c r="S1030" s="904"/>
      <c r="T1030" s="904"/>
      <c r="U1030" s="904"/>
      <c r="V1030" s="904"/>
      <c r="W1030" s="904"/>
      <c r="X1030" s="904"/>
      <c r="Y1030" s="904"/>
    </row>
    <row r="1031" spans="1:25" x14ac:dyDescent="0.2">
      <c r="A1031" s="903"/>
      <c r="B1031" s="903"/>
      <c r="C1031" s="903"/>
      <c r="D1031" s="903"/>
      <c r="E1031" s="903"/>
      <c r="R1031" s="904"/>
      <c r="S1031" s="904"/>
      <c r="T1031" s="904"/>
      <c r="U1031" s="904"/>
      <c r="V1031" s="904"/>
      <c r="W1031" s="904"/>
      <c r="X1031" s="904"/>
      <c r="Y1031" s="904"/>
    </row>
    <row r="1032" spans="1:25" x14ac:dyDescent="0.2">
      <c r="A1032" s="903"/>
      <c r="B1032" s="903"/>
      <c r="C1032" s="903"/>
      <c r="D1032" s="903"/>
      <c r="E1032" s="903"/>
      <c r="R1032" s="904"/>
      <c r="S1032" s="904"/>
      <c r="T1032" s="904"/>
      <c r="U1032" s="904"/>
      <c r="V1032" s="904"/>
      <c r="W1032" s="904"/>
      <c r="X1032" s="904"/>
      <c r="Y1032" s="904"/>
    </row>
    <row r="1033" spans="1:25" x14ac:dyDescent="0.2">
      <c r="A1033" s="903"/>
      <c r="B1033" s="903"/>
      <c r="C1033" s="903"/>
      <c r="D1033" s="903"/>
      <c r="E1033" s="903"/>
      <c r="R1033" s="904"/>
      <c r="S1033" s="904"/>
      <c r="T1033" s="904"/>
      <c r="U1033" s="904"/>
      <c r="V1033" s="904"/>
      <c r="W1033" s="904"/>
      <c r="X1033" s="904"/>
      <c r="Y1033" s="904"/>
    </row>
    <row r="1034" spans="1:25" x14ac:dyDescent="0.2">
      <c r="A1034" s="903"/>
      <c r="B1034" s="903"/>
      <c r="C1034" s="903"/>
      <c r="D1034" s="903"/>
      <c r="E1034" s="903"/>
      <c r="R1034" s="904"/>
      <c r="S1034" s="904"/>
      <c r="T1034" s="904"/>
      <c r="U1034" s="904"/>
      <c r="V1034" s="904"/>
      <c r="W1034" s="904"/>
      <c r="X1034" s="904"/>
      <c r="Y1034" s="904"/>
    </row>
    <row r="1035" spans="1:25" x14ac:dyDescent="0.2">
      <c r="A1035" s="903"/>
      <c r="B1035" s="903"/>
      <c r="C1035" s="903"/>
      <c r="D1035" s="903"/>
      <c r="E1035" s="903"/>
      <c r="R1035" s="904"/>
      <c r="S1035" s="904"/>
      <c r="T1035" s="904"/>
      <c r="U1035" s="904"/>
      <c r="V1035" s="904"/>
      <c r="W1035" s="904"/>
      <c r="X1035" s="904"/>
      <c r="Y1035" s="904"/>
    </row>
    <row r="1036" spans="1:25" x14ac:dyDescent="0.2">
      <c r="A1036" s="903"/>
      <c r="B1036" s="903"/>
      <c r="C1036" s="903"/>
      <c r="D1036" s="903"/>
      <c r="E1036" s="903"/>
      <c r="R1036" s="904"/>
      <c r="S1036" s="904"/>
      <c r="T1036" s="904"/>
      <c r="U1036" s="904"/>
      <c r="V1036" s="904"/>
      <c r="W1036" s="904"/>
      <c r="X1036" s="904"/>
      <c r="Y1036" s="904"/>
    </row>
    <row r="1037" spans="1:25" x14ac:dyDescent="0.2">
      <c r="A1037" s="903"/>
      <c r="B1037" s="903"/>
      <c r="C1037" s="903"/>
      <c r="D1037" s="903"/>
      <c r="E1037" s="903"/>
      <c r="R1037" s="904"/>
      <c r="S1037" s="904"/>
      <c r="T1037" s="904"/>
      <c r="U1037" s="904"/>
      <c r="V1037" s="904"/>
      <c r="W1037" s="904"/>
      <c r="X1037" s="904"/>
      <c r="Y1037" s="904"/>
    </row>
    <row r="1038" spans="1:25" x14ac:dyDescent="0.2">
      <c r="A1038" s="903"/>
      <c r="B1038" s="903"/>
      <c r="C1038" s="903"/>
      <c r="D1038" s="903"/>
      <c r="E1038" s="903"/>
      <c r="R1038" s="904"/>
      <c r="S1038" s="904"/>
      <c r="T1038" s="904"/>
      <c r="U1038" s="904"/>
      <c r="V1038" s="904"/>
      <c r="W1038" s="904"/>
      <c r="X1038" s="904"/>
      <c r="Y1038" s="904"/>
    </row>
    <row r="1039" spans="1:25" x14ac:dyDescent="0.2">
      <c r="A1039" s="903"/>
      <c r="B1039" s="903"/>
      <c r="C1039" s="903"/>
      <c r="D1039" s="903"/>
      <c r="E1039" s="903"/>
      <c r="R1039" s="904"/>
      <c r="S1039" s="904"/>
      <c r="T1039" s="904"/>
      <c r="U1039" s="904"/>
      <c r="V1039" s="904"/>
      <c r="W1039" s="904"/>
      <c r="X1039" s="904"/>
      <c r="Y1039" s="904"/>
    </row>
    <row r="1040" spans="1:25" x14ac:dyDescent="0.2">
      <c r="A1040" s="903"/>
      <c r="B1040" s="903"/>
      <c r="C1040" s="903"/>
      <c r="D1040" s="903"/>
      <c r="E1040" s="903"/>
      <c r="R1040" s="904"/>
      <c r="S1040" s="904"/>
      <c r="T1040" s="904"/>
      <c r="U1040" s="904"/>
      <c r="V1040" s="904"/>
      <c r="W1040" s="904"/>
      <c r="X1040" s="904"/>
      <c r="Y1040" s="904"/>
    </row>
    <row r="1041" spans="1:25" x14ac:dyDescent="0.2">
      <c r="A1041" s="903"/>
      <c r="B1041" s="903"/>
      <c r="C1041" s="903"/>
      <c r="D1041" s="903"/>
      <c r="E1041" s="903"/>
      <c r="R1041" s="904"/>
      <c r="S1041" s="904"/>
      <c r="T1041" s="904"/>
      <c r="U1041" s="904"/>
      <c r="V1041" s="904"/>
      <c r="W1041" s="904"/>
      <c r="X1041" s="904"/>
      <c r="Y1041" s="904"/>
    </row>
    <row r="1042" spans="1:25" x14ac:dyDescent="0.2">
      <c r="A1042" s="903"/>
      <c r="B1042" s="903"/>
      <c r="C1042" s="903"/>
      <c r="D1042" s="903"/>
      <c r="E1042" s="903"/>
      <c r="R1042" s="904"/>
      <c r="S1042" s="904"/>
      <c r="T1042" s="904"/>
      <c r="U1042" s="904"/>
      <c r="V1042" s="904"/>
      <c r="W1042" s="904"/>
      <c r="X1042" s="904"/>
      <c r="Y1042" s="904"/>
    </row>
    <row r="1043" spans="1:25" x14ac:dyDescent="0.2">
      <c r="A1043" s="903"/>
      <c r="B1043" s="903"/>
      <c r="C1043" s="903"/>
      <c r="D1043" s="903"/>
      <c r="E1043" s="903"/>
      <c r="R1043" s="904"/>
      <c r="S1043" s="904"/>
      <c r="T1043" s="904"/>
      <c r="U1043" s="904"/>
      <c r="V1043" s="904"/>
      <c r="W1043" s="904"/>
      <c r="X1043" s="904"/>
      <c r="Y1043" s="904"/>
    </row>
    <row r="1044" spans="1:25" x14ac:dyDescent="0.2">
      <c r="A1044" s="903"/>
      <c r="B1044" s="903"/>
      <c r="C1044" s="903"/>
      <c r="D1044" s="903"/>
      <c r="E1044" s="903"/>
      <c r="R1044" s="904"/>
      <c r="S1044" s="904"/>
      <c r="T1044" s="904"/>
      <c r="U1044" s="904"/>
      <c r="V1044" s="904"/>
      <c r="W1044" s="904"/>
      <c r="X1044" s="904"/>
      <c r="Y1044" s="904"/>
    </row>
    <row r="1045" spans="1:25" x14ac:dyDescent="0.2">
      <c r="A1045" s="903"/>
      <c r="B1045" s="903"/>
      <c r="C1045" s="903"/>
      <c r="D1045" s="903"/>
      <c r="E1045" s="903"/>
      <c r="R1045" s="904"/>
      <c r="S1045" s="904"/>
      <c r="T1045" s="904"/>
      <c r="U1045" s="904"/>
      <c r="V1045" s="904"/>
      <c r="W1045" s="904"/>
      <c r="X1045" s="904"/>
      <c r="Y1045" s="904"/>
    </row>
    <row r="1046" spans="1:25" x14ac:dyDescent="0.2">
      <c r="A1046" s="903"/>
      <c r="B1046" s="903"/>
      <c r="C1046" s="903"/>
      <c r="D1046" s="903"/>
      <c r="E1046" s="903"/>
      <c r="R1046" s="904"/>
      <c r="S1046" s="904"/>
      <c r="T1046" s="904"/>
      <c r="U1046" s="904"/>
      <c r="V1046" s="904"/>
      <c r="W1046" s="904"/>
      <c r="X1046" s="904"/>
      <c r="Y1046" s="904"/>
    </row>
    <row r="1047" spans="1:25" x14ac:dyDescent="0.2">
      <c r="A1047" s="903"/>
      <c r="B1047" s="903"/>
      <c r="C1047" s="903"/>
      <c r="D1047" s="903"/>
      <c r="E1047" s="903"/>
      <c r="R1047" s="904"/>
      <c r="S1047" s="904"/>
      <c r="T1047" s="904"/>
      <c r="U1047" s="904"/>
      <c r="V1047" s="904"/>
      <c r="W1047" s="904"/>
      <c r="X1047" s="904"/>
      <c r="Y1047" s="904"/>
    </row>
    <row r="1048" spans="1:25" x14ac:dyDescent="0.2">
      <c r="A1048" s="903"/>
      <c r="B1048" s="903"/>
      <c r="C1048" s="903"/>
      <c r="D1048" s="903"/>
      <c r="E1048" s="903"/>
      <c r="R1048" s="904"/>
      <c r="S1048" s="904"/>
      <c r="T1048" s="904"/>
      <c r="U1048" s="904"/>
      <c r="V1048" s="904"/>
      <c r="W1048" s="904"/>
      <c r="X1048" s="904"/>
      <c r="Y1048" s="904"/>
    </row>
    <row r="1049" spans="1:25" x14ac:dyDescent="0.2">
      <c r="A1049" s="903"/>
      <c r="B1049" s="903"/>
      <c r="C1049" s="903"/>
      <c r="D1049" s="903"/>
      <c r="E1049" s="903"/>
      <c r="R1049" s="904"/>
      <c r="S1049" s="904"/>
      <c r="T1049" s="904"/>
      <c r="U1049" s="904"/>
      <c r="V1049" s="904"/>
      <c r="W1049" s="904"/>
      <c r="X1049" s="904"/>
      <c r="Y1049" s="904"/>
    </row>
    <row r="1050" spans="1:25" x14ac:dyDescent="0.2">
      <c r="A1050" s="903"/>
      <c r="B1050" s="903"/>
      <c r="C1050" s="903"/>
      <c r="D1050" s="903"/>
      <c r="E1050" s="903"/>
      <c r="R1050" s="904"/>
      <c r="S1050" s="904"/>
      <c r="T1050" s="904"/>
      <c r="U1050" s="904"/>
      <c r="V1050" s="904"/>
      <c r="W1050" s="904"/>
      <c r="X1050" s="904"/>
      <c r="Y1050" s="904"/>
    </row>
    <row r="1051" spans="1:25" x14ac:dyDescent="0.2">
      <c r="A1051" s="903"/>
      <c r="B1051" s="903"/>
      <c r="C1051" s="903"/>
      <c r="D1051" s="903"/>
      <c r="E1051" s="903"/>
      <c r="R1051" s="904"/>
      <c r="S1051" s="904"/>
      <c r="T1051" s="904"/>
      <c r="U1051" s="904"/>
      <c r="V1051" s="904"/>
      <c r="W1051" s="904"/>
      <c r="X1051" s="904"/>
      <c r="Y1051" s="904"/>
    </row>
    <row r="1052" spans="1:25" x14ac:dyDescent="0.2">
      <c r="A1052" s="903"/>
      <c r="B1052" s="903"/>
      <c r="C1052" s="903"/>
      <c r="D1052" s="903"/>
      <c r="E1052" s="903"/>
      <c r="R1052" s="904"/>
      <c r="S1052" s="904"/>
      <c r="T1052" s="904"/>
      <c r="U1052" s="904"/>
      <c r="V1052" s="904"/>
      <c r="W1052" s="904"/>
      <c r="X1052" s="904"/>
      <c r="Y1052" s="904"/>
    </row>
    <row r="1053" spans="1:25" x14ac:dyDescent="0.2">
      <c r="A1053" s="903"/>
      <c r="B1053" s="903"/>
      <c r="C1053" s="903"/>
      <c r="D1053" s="903"/>
      <c r="E1053" s="903"/>
      <c r="R1053" s="904"/>
      <c r="S1053" s="904"/>
      <c r="T1053" s="904"/>
      <c r="U1053" s="904"/>
      <c r="V1053" s="904"/>
      <c r="W1053" s="904"/>
      <c r="X1053" s="904"/>
      <c r="Y1053" s="904"/>
    </row>
    <row r="1054" spans="1:25" x14ac:dyDescent="0.2">
      <c r="A1054" s="903"/>
      <c r="B1054" s="903"/>
      <c r="C1054" s="903"/>
      <c r="D1054" s="903"/>
      <c r="E1054" s="903"/>
      <c r="R1054" s="904"/>
      <c r="S1054" s="904"/>
      <c r="T1054" s="904"/>
      <c r="U1054" s="904"/>
      <c r="V1054" s="904"/>
      <c r="W1054" s="904"/>
      <c r="X1054" s="904"/>
      <c r="Y1054" s="904"/>
    </row>
    <row r="1055" spans="1:25" x14ac:dyDescent="0.2">
      <c r="A1055" s="903"/>
      <c r="B1055" s="903"/>
      <c r="C1055" s="903"/>
      <c r="D1055" s="903"/>
      <c r="E1055" s="903"/>
      <c r="R1055" s="904"/>
      <c r="S1055" s="904"/>
      <c r="T1055" s="904"/>
      <c r="U1055" s="904"/>
      <c r="V1055" s="904"/>
      <c r="W1055" s="904"/>
      <c r="X1055" s="904"/>
      <c r="Y1055" s="904"/>
    </row>
    <row r="1056" spans="1:25" x14ac:dyDescent="0.2">
      <c r="A1056" s="903"/>
      <c r="B1056" s="903"/>
      <c r="C1056" s="903"/>
      <c r="D1056" s="903"/>
      <c r="E1056" s="903"/>
      <c r="R1056" s="904"/>
      <c r="S1056" s="904"/>
      <c r="T1056" s="904"/>
      <c r="U1056" s="904"/>
      <c r="V1056" s="904"/>
      <c r="W1056" s="904"/>
      <c r="X1056" s="904"/>
      <c r="Y1056" s="904"/>
    </row>
    <row r="1057" spans="1:25" x14ac:dyDescent="0.2">
      <c r="A1057" s="903"/>
      <c r="B1057" s="903"/>
      <c r="C1057" s="903"/>
      <c r="D1057" s="903"/>
      <c r="E1057" s="903"/>
      <c r="R1057" s="904"/>
      <c r="S1057" s="904"/>
      <c r="T1057" s="904"/>
      <c r="U1057" s="904"/>
      <c r="V1057" s="904"/>
      <c r="W1057" s="904"/>
      <c r="X1057" s="904"/>
      <c r="Y1057" s="904"/>
    </row>
    <row r="1058" spans="1:25" x14ac:dyDescent="0.2">
      <c r="A1058" s="903"/>
      <c r="B1058" s="903"/>
      <c r="C1058" s="903"/>
      <c r="D1058" s="903"/>
      <c r="E1058" s="903"/>
      <c r="R1058" s="904"/>
      <c r="S1058" s="904"/>
      <c r="T1058" s="904"/>
      <c r="U1058" s="904"/>
      <c r="V1058" s="904"/>
      <c r="W1058" s="904"/>
      <c r="X1058" s="904"/>
      <c r="Y1058" s="904"/>
    </row>
    <row r="1059" spans="1:25" x14ac:dyDescent="0.2">
      <c r="A1059" s="903"/>
      <c r="B1059" s="903"/>
      <c r="C1059" s="903"/>
      <c r="D1059" s="903"/>
      <c r="E1059" s="903"/>
      <c r="R1059" s="904"/>
      <c r="S1059" s="904"/>
      <c r="T1059" s="904"/>
      <c r="U1059" s="904"/>
      <c r="V1059" s="904"/>
      <c r="W1059" s="904"/>
      <c r="X1059" s="904"/>
      <c r="Y1059" s="904"/>
    </row>
    <row r="1060" spans="1:25" x14ac:dyDescent="0.2">
      <c r="A1060" s="903"/>
      <c r="B1060" s="903"/>
      <c r="C1060" s="903"/>
      <c r="D1060" s="903"/>
      <c r="E1060" s="903"/>
      <c r="R1060" s="904"/>
      <c r="S1060" s="904"/>
      <c r="T1060" s="904"/>
      <c r="U1060" s="904"/>
      <c r="V1060" s="904"/>
      <c r="W1060" s="904"/>
      <c r="X1060" s="904"/>
      <c r="Y1060" s="904"/>
    </row>
    <row r="1061" spans="1:25" x14ac:dyDescent="0.2">
      <c r="A1061" s="903"/>
      <c r="B1061" s="903"/>
      <c r="C1061" s="903"/>
      <c r="D1061" s="903"/>
      <c r="E1061" s="903"/>
      <c r="R1061" s="904"/>
      <c r="S1061" s="904"/>
      <c r="T1061" s="904"/>
      <c r="U1061" s="904"/>
      <c r="V1061" s="904"/>
      <c r="W1061" s="904"/>
      <c r="X1061" s="904"/>
      <c r="Y1061" s="904"/>
    </row>
    <row r="1062" spans="1:25" x14ac:dyDescent="0.2">
      <c r="A1062" s="903"/>
      <c r="B1062" s="903"/>
      <c r="C1062" s="903"/>
      <c r="D1062" s="903"/>
      <c r="E1062" s="903"/>
      <c r="R1062" s="904"/>
      <c r="S1062" s="904"/>
      <c r="T1062" s="904"/>
      <c r="U1062" s="904"/>
      <c r="V1062" s="904"/>
      <c r="W1062" s="904"/>
      <c r="X1062" s="904"/>
      <c r="Y1062" s="904"/>
    </row>
    <row r="1063" spans="1:25" x14ac:dyDescent="0.2">
      <c r="A1063" s="903"/>
      <c r="B1063" s="903"/>
      <c r="C1063" s="903"/>
      <c r="D1063" s="903"/>
      <c r="E1063" s="903"/>
      <c r="R1063" s="904"/>
      <c r="S1063" s="904"/>
      <c r="T1063" s="904"/>
      <c r="U1063" s="904"/>
      <c r="V1063" s="904"/>
      <c r="W1063" s="904"/>
      <c r="X1063" s="904"/>
      <c r="Y1063" s="904"/>
    </row>
    <row r="1064" spans="1:25" x14ac:dyDescent="0.2">
      <c r="A1064" s="903"/>
      <c r="B1064" s="903"/>
      <c r="C1064" s="903"/>
      <c r="D1064" s="903"/>
      <c r="E1064" s="903"/>
      <c r="R1064" s="904"/>
      <c r="S1064" s="904"/>
      <c r="T1064" s="904"/>
      <c r="U1064" s="904"/>
      <c r="V1064" s="904"/>
      <c r="W1064" s="904"/>
      <c r="X1064" s="904"/>
      <c r="Y1064" s="904"/>
    </row>
    <row r="1065" spans="1:25" x14ac:dyDescent="0.2">
      <c r="A1065" s="903"/>
      <c r="B1065" s="903"/>
      <c r="C1065" s="903"/>
      <c r="D1065" s="903"/>
      <c r="E1065" s="903"/>
      <c r="R1065" s="904"/>
      <c r="S1065" s="904"/>
      <c r="T1065" s="904"/>
      <c r="U1065" s="904"/>
      <c r="V1065" s="904"/>
      <c r="W1065" s="904"/>
      <c r="X1065" s="904"/>
      <c r="Y1065" s="904"/>
    </row>
    <row r="1066" spans="1:25" x14ac:dyDescent="0.2">
      <c r="A1066" s="903"/>
      <c r="B1066" s="903"/>
      <c r="C1066" s="903"/>
      <c r="D1066" s="903"/>
      <c r="E1066" s="903"/>
      <c r="R1066" s="904"/>
      <c r="S1066" s="904"/>
      <c r="T1066" s="904"/>
      <c r="U1066" s="904"/>
      <c r="V1066" s="904"/>
      <c r="W1066" s="904"/>
      <c r="X1066" s="904"/>
      <c r="Y1066" s="904"/>
    </row>
    <row r="1067" spans="1:25" x14ac:dyDescent="0.2">
      <c r="A1067" s="903"/>
      <c r="B1067" s="903"/>
      <c r="C1067" s="903"/>
      <c r="D1067" s="903"/>
      <c r="E1067" s="903"/>
      <c r="R1067" s="904"/>
      <c r="S1067" s="904"/>
      <c r="T1067" s="904"/>
      <c r="U1067" s="904"/>
      <c r="V1067" s="904"/>
      <c r="W1067" s="904"/>
      <c r="X1067" s="904"/>
      <c r="Y1067" s="904"/>
    </row>
    <row r="1068" spans="1:25" x14ac:dyDescent="0.2">
      <c r="A1068" s="903"/>
      <c r="B1068" s="903"/>
      <c r="C1068" s="903"/>
      <c r="D1068" s="903"/>
      <c r="E1068" s="903"/>
      <c r="R1068" s="904"/>
      <c r="S1068" s="904"/>
      <c r="T1068" s="904"/>
      <c r="U1068" s="904"/>
      <c r="V1068" s="904"/>
      <c r="W1068" s="904"/>
      <c r="X1068" s="904"/>
      <c r="Y1068" s="904"/>
    </row>
    <row r="1069" spans="1:25" x14ac:dyDescent="0.2">
      <c r="A1069" s="903"/>
      <c r="B1069" s="903"/>
      <c r="C1069" s="903"/>
      <c r="D1069" s="903"/>
      <c r="E1069" s="903"/>
      <c r="R1069" s="904"/>
      <c r="S1069" s="904"/>
      <c r="T1069" s="904"/>
      <c r="U1069" s="904"/>
      <c r="V1069" s="904"/>
      <c r="W1069" s="904"/>
      <c r="X1069" s="904"/>
      <c r="Y1069" s="904"/>
    </row>
    <row r="1070" spans="1:25" x14ac:dyDescent="0.2">
      <c r="A1070" s="903"/>
      <c r="B1070" s="903"/>
      <c r="C1070" s="903"/>
      <c r="D1070" s="903"/>
      <c r="E1070" s="903"/>
      <c r="R1070" s="904"/>
      <c r="S1070" s="904"/>
      <c r="T1070" s="904"/>
      <c r="U1070" s="904"/>
      <c r="V1070" s="904"/>
      <c r="W1070" s="904"/>
      <c r="X1070" s="904"/>
      <c r="Y1070" s="904"/>
    </row>
    <row r="1071" spans="1:25" x14ac:dyDescent="0.2">
      <c r="A1071" s="903"/>
      <c r="B1071" s="903"/>
      <c r="C1071" s="903"/>
      <c r="D1071" s="903"/>
      <c r="E1071" s="903"/>
      <c r="R1071" s="904"/>
      <c r="S1071" s="904"/>
      <c r="T1071" s="904"/>
      <c r="U1071" s="904"/>
      <c r="V1071" s="904"/>
      <c r="W1071" s="904"/>
      <c r="X1071" s="904"/>
      <c r="Y1071" s="904"/>
    </row>
    <row r="1072" spans="1:25" x14ac:dyDescent="0.2">
      <c r="A1072" s="903"/>
      <c r="B1072" s="903"/>
      <c r="C1072" s="903"/>
      <c r="D1072" s="903"/>
      <c r="E1072" s="903"/>
      <c r="R1072" s="904"/>
      <c r="S1072" s="904"/>
      <c r="T1072" s="904"/>
      <c r="U1072" s="904"/>
      <c r="V1072" s="904"/>
      <c r="W1072" s="904"/>
      <c r="X1072" s="904"/>
      <c r="Y1072" s="904"/>
    </row>
    <row r="1073" spans="1:25" x14ac:dyDescent="0.2">
      <c r="A1073" s="903"/>
      <c r="B1073" s="903"/>
      <c r="C1073" s="903"/>
      <c r="D1073" s="903"/>
      <c r="E1073" s="903"/>
      <c r="R1073" s="904"/>
      <c r="S1073" s="904"/>
      <c r="T1073" s="904"/>
      <c r="U1073" s="904"/>
      <c r="V1073" s="904"/>
      <c r="W1073" s="904"/>
      <c r="X1073" s="904"/>
      <c r="Y1073" s="904"/>
    </row>
    <row r="1074" spans="1:25" x14ac:dyDescent="0.2">
      <c r="A1074" s="903"/>
      <c r="B1074" s="903"/>
      <c r="C1074" s="903"/>
      <c r="D1074" s="903"/>
      <c r="E1074" s="903"/>
      <c r="R1074" s="904"/>
      <c r="S1074" s="904"/>
      <c r="T1074" s="904"/>
      <c r="U1074" s="904"/>
      <c r="V1074" s="904"/>
      <c r="W1074" s="904"/>
      <c r="X1074" s="904"/>
      <c r="Y1074" s="904"/>
    </row>
    <row r="1075" spans="1:25" x14ac:dyDescent="0.2">
      <c r="A1075" s="903"/>
      <c r="B1075" s="903"/>
      <c r="C1075" s="903"/>
      <c r="D1075" s="903"/>
      <c r="E1075" s="903"/>
      <c r="R1075" s="904"/>
      <c r="S1075" s="904"/>
      <c r="T1075" s="904"/>
      <c r="U1075" s="904"/>
      <c r="V1075" s="904"/>
      <c r="W1075" s="904"/>
      <c r="X1075" s="904"/>
      <c r="Y1075" s="904"/>
    </row>
    <row r="1076" spans="1:25" x14ac:dyDescent="0.2">
      <c r="A1076" s="903"/>
      <c r="B1076" s="903"/>
      <c r="C1076" s="903"/>
      <c r="D1076" s="903"/>
      <c r="E1076" s="903"/>
      <c r="R1076" s="904"/>
      <c r="S1076" s="904"/>
      <c r="T1076" s="904"/>
      <c r="U1076" s="904"/>
      <c r="V1076" s="904"/>
      <c r="W1076" s="904"/>
      <c r="X1076" s="904"/>
      <c r="Y1076" s="904"/>
    </row>
    <row r="1077" spans="1:25" x14ac:dyDescent="0.2">
      <c r="A1077" s="903"/>
      <c r="B1077" s="903"/>
      <c r="C1077" s="903"/>
      <c r="D1077" s="903"/>
      <c r="E1077" s="903"/>
      <c r="R1077" s="904"/>
      <c r="S1077" s="904"/>
      <c r="T1077" s="904"/>
      <c r="U1077" s="904"/>
      <c r="V1077" s="904"/>
      <c r="W1077" s="904"/>
      <c r="X1077" s="904"/>
      <c r="Y1077" s="904"/>
    </row>
    <row r="1078" spans="1:25" x14ac:dyDescent="0.2">
      <c r="A1078" s="903"/>
      <c r="B1078" s="903"/>
      <c r="C1078" s="903"/>
      <c r="D1078" s="903"/>
      <c r="E1078" s="903"/>
      <c r="R1078" s="904"/>
      <c r="S1078" s="904"/>
      <c r="T1078" s="904"/>
      <c r="U1078" s="904"/>
      <c r="V1078" s="904"/>
      <c r="W1078" s="904"/>
      <c r="X1078" s="904"/>
      <c r="Y1078" s="904"/>
    </row>
    <row r="1079" spans="1:25" x14ac:dyDescent="0.2">
      <c r="A1079" s="903"/>
      <c r="B1079" s="903"/>
      <c r="C1079" s="903"/>
      <c r="D1079" s="903"/>
      <c r="E1079" s="903"/>
      <c r="R1079" s="904"/>
      <c r="S1079" s="904"/>
      <c r="T1079" s="904"/>
      <c r="U1079" s="904"/>
      <c r="V1079" s="904"/>
      <c r="W1079" s="904"/>
      <c r="X1079" s="904"/>
      <c r="Y1079" s="904"/>
    </row>
    <row r="1080" spans="1:25" x14ac:dyDescent="0.2">
      <c r="A1080" s="903"/>
      <c r="B1080" s="903"/>
      <c r="C1080" s="903"/>
      <c r="D1080" s="903"/>
      <c r="E1080" s="903"/>
      <c r="R1080" s="904"/>
      <c r="S1080" s="904"/>
      <c r="T1080" s="904"/>
      <c r="U1080" s="904"/>
      <c r="V1080" s="904"/>
      <c r="W1080" s="904"/>
      <c r="X1080" s="904"/>
      <c r="Y1080" s="904"/>
    </row>
    <row r="1081" spans="1:25" x14ac:dyDescent="0.2">
      <c r="A1081" s="903"/>
      <c r="B1081" s="903"/>
      <c r="C1081" s="903"/>
      <c r="D1081" s="903"/>
      <c r="E1081" s="903"/>
      <c r="R1081" s="904"/>
      <c r="S1081" s="904"/>
      <c r="T1081" s="904"/>
      <c r="U1081" s="904"/>
      <c r="V1081" s="904"/>
      <c r="W1081" s="904"/>
      <c r="X1081" s="904"/>
      <c r="Y1081" s="904"/>
    </row>
    <row r="1082" spans="1:25" x14ac:dyDescent="0.2">
      <c r="A1082" s="903"/>
      <c r="B1082" s="903"/>
      <c r="C1082" s="903"/>
      <c r="D1082" s="903"/>
      <c r="E1082" s="903"/>
      <c r="R1082" s="904"/>
      <c r="S1082" s="904"/>
      <c r="T1082" s="904"/>
      <c r="U1082" s="904"/>
      <c r="V1082" s="904"/>
      <c r="W1082" s="904"/>
      <c r="X1082" s="904"/>
      <c r="Y1082" s="904"/>
    </row>
    <row r="1083" spans="1:25" x14ac:dyDescent="0.2">
      <c r="A1083" s="903"/>
      <c r="B1083" s="903"/>
      <c r="C1083" s="903"/>
      <c r="D1083" s="903"/>
      <c r="E1083" s="903"/>
      <c r="R1083" s="904"/>
      <c r="S1083" s="904"/>
      <c r="T1083" s="904"/>
      <c r="U1083" s="904"/>
      <c r="V1083" s="904"/>
      <c r="W1083" s="904"/>
      <c r="X1083" s="904"/>
      <c r="Y1083" s="904"/>
    </row>
    <row r="1084" spans="1:25" x14ac:dyDescent="0.2">
      <c r="A1084" s="903"/>
      <c r="B1084" s="903"/>
      <c r="C1084" s="903"/>
      <c r="D1084" s="903"/>
      <c r="E1084" s="903"/>
      <c r="R1084" s="904"/>
      <c r="S1084" s="904"/>
      <c r="T1084" s="904"/>
      <c r="U1084" s="904"/>
      <c r="V1084" s="904"/>
      <c r="W1084" s="904"/>
      <c r="X1084" s="904"/>
      <c r="Y1084" s="904"/>
    </row>
    <row r="1085" spans="1:25" x14ac:dyDescent="0.2">
      <c r="A1085" s="903"/>
      <c r="B1085" s="903"/>
      <c r="C1085" s="903"/>
      <c r="D1085" s="903"/>
      <c r="E1085" s="903"/>
      <c r="R1085" s="904"/>
      <c r="S1085" s="904"/>
      <c r="T1085" s="904"/>
      <c r="U1085" s="904"/>
      <c r="V1085" s="904"/>
      <c r="W1085" s="904"/>
      <c r="X1085" s="904"/>
      <c r="Y1085" s="904"/>
    </row>
    <row r="1086" spans="1:25" x14ac:dyDescent="0.2">
      <c r="A1086" s="903"/>
      <c r="B1086" s="903"/>
      <c r="C1086" s="903"/>
      <c r="D1086" s="903"/>
      <c r="E1086" s="903"/>
      <c r="R1086" s="904"/>
      <c r="S1086" s="904"/>
      <c r="T1086" s="904"/>
      <c r="U1086" s="904"/>
      <c r="V1086" s="904"/>
      <c r="W1086" s="904"/>
      <c r="X1086" s="904"/>
      <c r="Y1086" s="904"/>
    </row>
    <row r="1087" spans="1:25" x14ac:dyDescent="0.2">
      <c r="A1087" s="903"/>
      <c r="B1087" s="903"/>
      <c r="C1087" s="903"/>
      <c r="D1087" s="903"/>
      <c r="E1087" s="903"/>
      <c r="R1087" s="904"/>
      <c r="S1087" s="904"/>
      <c r="T1087" s="904"/>
      <c r="U1087" s="904"/>
      <c r="V1087" s="904"/>
      <c r="W1087" s="904"/>
      <c r="X1087" s="904"/>
      <c r="Y1087" s="904"/>
    </row>
    <row r="1088" spans="1:25" x14ac:dyDescent="0.2">
      <c r="A1088" s="903"/>
      <c r="B1088" s="903"/>
      <c r="C1088" s="903"/>
      <c r="D1088" s="903"/>
      <c r="E1088" s="903"/>
      <c r="R1088" s="904"/>
      <c r="S1088" s="904"/>
      <c r="T1088" s="904"/>
      <c r="U1088" s="904"/>
      <c r="V1088" s="904"/>
      <c r="W1088" s="904"/>
      <c r="X1088" s="904"/>
      <c r="Y1088" s="904"/>
    </row>
    <row r="1089" spans="1:25" x14ac:dyDescent="0.2">
      <c r="A1089" s="903"/>
      <c r="B1089" s="903"/>
      <c r="C1089" s="903"/>
      <c r="D1089" s="903"/>
      <c r="E1089" s="903"/>
      <c r="R1089" s="904"/>
      <c r="S1089" s="904"/>
      <c r="T1089" s="904"/>
      <c r="U1089" s="904"/>
      <c r="V1089" s="904"/>
      <c r="W1089" s="904"/>
      <c r="X1089" s="904"/>
      <c r="Y1089" s="904"/>
    </row>
    <row r="1090" spans="1:25" x14ac:dyDescent="0.2">
      <c r="A1090" s="903"/>
      <c r="B1090" s="903"/>
      <c r="C1090" s="903"/>
      <c r="D1090" s="903"/>
      <c r="E1090" s="903"/>
      <c r="R1090" s="904"/>
      <c r="S1090" s="904"/>
      <c r="T1090" s="904"/>
      <c r="U1090" s="904"/>
      <c r="V1090" s="904"/>
      <c r="W1090" s="904"/>
      <c r="X1090" s="904"/>
      <c r="Y1090" s="904"/>
    </row>
    <row r="1091" spans="1:25" x14ac:dyDescent="0.2">
      <c r="A1091" s="903"/>
      <c r="B1091" s="903"/>
      <c r="C1091" s="903"/>
      <c r="D1091" s="903"/>
      <c r="E1091" s="903"/>
      <c r="R1091" s="904"/>
      <c r="S1091" s="904"/>
      <c r="T1091" s="904"/>
      <c r="U1091" s="904"/>
      <c r="V1091" s="904"/>
      <c r="W1091" s="904"/>
      <c r="X1091" s="904"/>
      <c r="Y1091" s="904"/>
    </row>
    <row r="1092" spans="1:25" x14ac:dyDescent="0.2">
      <c r="A1092" s="903"/>
      <c r="B1092" s="903"/>
      <c r="C1092" s="903"/>
      <c r="D1092" s="903"/>
      <c r="E1092" s="903"/>
      <c r="R1092" s="904"/>
      <c r="S1092" s="904"/>
      <c r="T1092" s="904"/>
      <c r="U1092" s="904"/>
      <c r="V1092" s="904"/>
      <c r="W1092" s="904"/>
      <c r="X1092" s="904"/>
      <c r="Y1092" s="904"/>
    </row>
    <row r="1093" spans="1:25" x14ac:dyDescent="0.2">
      <c r="A1093" s="903"/>
      <c r="B1093" s="903"/>
      <c r="C1093" s="903"/>
      <c r="D1093" s="903"/>
      <c r="E1093" s="903"/>
      <c r="R1093" s="904"/>
      <c r="S1093" s="904"/>
      <c r="T1093" s="904"/>
      <c r="U1093" s="904"/>
      <c r="V1093" s="904"/>
      <c r="W1093" s="904"/>
      <c r="X1093" s="904"/>
      <c r="Y1093" s="904"/>
    </row>
    <row r="1094" spans="1:25" x14ac:dyDescent="0.2">
      <c r="A1094" s="903"/>
      <c r="B1094" s="903"/>
      <c r="C1094" s="903"/>
      <c r="D1094" s="903"/>
      <c r="E1094" s="903"/>
      <c r="R1094" s="904"/>
      <c r="S1094" s="904"/>
      <c r="T1094" s="904"/>
      <c r="U1094" s="904"/>
      <c r="V1094" s="904"/>
      <c r="W1094" s="904"/>
      <c r="X1094" s="904"/>
      <c r="Y1094" s="904"/>
    </row>
    <row r="1095" spans="1:25" x14ac:dyDescent="0.2">
      <c r="A1095" s="903"/>
      <c r="B1095" s="903"/>
      <c r="C1095" s="903"/>
      <c r="D1095" s="903"/>
      <c r="E1095" s="903"/>
      <c r="R1095" s="904"/>
      <c r="S1095" s="904"/>
      <c r="T1095" s="904"/>
      <c r="U1095" s="904"/>
      <c r="V1095" s="904"/>
      <c r="W1095" s="904"/>
      <c r="X1095" s="904"/>
      <c r="Y1095" s="904"/>
    </row>
    <row r="1096" spans="1:25" x14ac:dyDescent="0.2">
      <c r="A1096" s="903"/>
      <c r="B1096" s="903"/>
      <c r="C1096" s="903"/>
      <c r="D1096" s="903"/>
      <c r="E1096" s="903"/>
      <c r="R1096" s="904"/>
      <c r="S1096" s="904"/>
      <c r="T1096" s="904"/>
      <c r="U1096" s="904"/>
      <c r="V1096" s="904"/>
      <c r="W1096" s="904"/>
      <c r="X1096" s="904"/>
      <c r="Y1096" s="904"/>
    </row>
    <row r="1097" spans="1:25" x14ac:dyDescent="0.2">
      <c r="A1097" s="903"/>
      <c r="B1097" s="903"/>
      <c r="C1097" s="903"/>
      <c r="D1097" s="903"/>
      <c r="E1097" s="903"/>
      <c r="R1097" s="904"/>
      <c r="S1097" s="904"/>
      <c r="T1097" s="904"/>
      <c r="U1097" s="904"/>
      <c r="V1097" s="904"/>
      <c r="W1097" s="904"/>
      <c r="X1097" s="904"/>
      <c r="Y1097" s="904"/>
    </row>
    <row r="1098" spans="1:25" x14ac:dyDescent="0.2">
      <c r="A1098" s="903"/>
      <c r="B1098" s="903"/>
      <c r="C1098" s="903"/>
      <c r="D1098" s="903"/>
      <c r="E1098" s="903"/>
      <c r="R1098" s="904"/>
      <c r="S1098" s="904"/>
      <c r="T1098" s="904"/>
      <c r="U1098" s="904"/>
      <c r="V1098" s="904"/>
      <c r="W1098" s="904"/>
      <c r="X1098" s="904"/>
      <c r="Y1098" s="904"/>
    </row>
    <row r="1099" spans="1:25" x14ac:dyDescent="0.2">
      <c r="A1099" s="903"/>
      <c r="B1099" s="903"/>
      <c r="C1099" s="903"/>
      <c r="D1099" s="903"/>
      <c r="E1099" s="903"/>
      <c r="R1099" s="904"/>
      <c r="S1099" s="904"/>
      <c r="T1099" s="904"/>
      <c r="U1099" s="904"/>
      <c r="V1099" s="904"/>
      <c r="W1099" s="904"/>
      <c r="X1099" s="904"/>
      <c r="Y1099" s="904"/>
    </row>
    <row r="1100" spans="1:25" x14ac:dyDescent="0.2">
      <c r="A1100" s="903"/>
      <c r="B1100" s="903"/>
      <c r="C1100" s="903"/>
      <c r="D1100" s="903"/>
      <c r="E1100" s="903"/>
      <c r="R1100" s="904"/>
      <c r="S1100" s="904"/>
      <c r="T1100" s="904"/>
      <c r="U1100" s="904"/>
      <c r="V1100" s="904"/>
      <c r="W1100" s="904"/>
      <c r="X1100" s="904"/>
      <c r="Y1100" s="904"/>
    </row>
    <row r="1101" spans="1:25" x14ac:dyDescent="0.2">
      <c r="A1101" s="903"/>
      <c r="B1101" s="903"/>
      <c r="C1101" s="903"/>
      <c r="D1101" s="903"/>
      <c r="E1101" s="903"/>
      <c r="R1101" s="904"/>
      <c r="S1101" s="904"/>
      <c r="T1101" s="904"/>
      <c r="U1101" s="904"/>
      <c r="V1101" s="904"/>
      <c r="W1101" s="904"/>
      <c r="X1101" s="904"/>
      <c r="Y1101" s="904"/>
    </row>
    <row r="1102" spans="1:25" x14ac:dyDescent="0.2">
      <c r="A1102" s="903"/>
      <c r="B1102" s="903"/>
      <c r="C1102" s="903"/>
      <c r="D1102" s="903"/>
      <c r="E1102" s="903"/>
      <c r="R1102" s="904"/>
      <c r="S1102" s="904"/>
      <c r="T1102" s="904"/>
      <c r="U1102" s="904"/>
      <c r="V1102" s="904"/>
      <c r="W1102" s="904"/>
      <c r="X1102" s="904"/>
      <c r="Y1102" s="904"/>
    </row>
    <row r="1103" spans="1:25" x14ac:dyDescent="0.2">
      <c r="A1103" s="903"/>
      <c r="B1103" s="903"/>
      <c r="C1103" s="903"/>
      <c r="D1103" s="903"/>
      <c r="E1103" s="903"/>
      <c r="R1103" s="904"/>
      <c r="S1103" s="904"/>
      <c r="T1103" s="904"/>
      <c r="U1103" s="904"/>
      <c r="V1103" s="904"/>
      <c r="W1103" s="904"/>
      <c r="X1103" s="904"/>
      <c r="Y1103" s="904"/>
    </row>
    <row r="1104" spans="1:25" x14ac:dyDescent="0.2">
      <c r="A1104" s="903"/>
      <c r="B1104" s="903"/>
      <c r="C1104" s="903"/>
      <c r="D1104" s="903"/>
      <c r="E1104" s="903"/>
      <c r="R1104" s="904"/>
      <c r="S1104" s="904"/>
      <c r="T1104" s="904"/>
      <c r="U1104" s="904"/>
      <c r="V1104" s="904"/>
      <c r="W1104" s="904"/>
      <c r="X1104" s="904"/>
      <c r="Y1104" s="904"/>
    </row>
    <row r="1105" spans="1:25" x14ac:dyDescent="0.2">
      <c r="A1105" s="903"/>
      <c r="B1105" s="903"/>
      <c r="C1105" s="903"/>
      <c r="D1105" s="903"/>
      <c r="E1105" s="903"/>
      <c r="R1105" s="904"/>
      <c r="S1105" s="904"/>
      <c r="T1105" s="904"/>
      <c r="U1105" s="904"/>
      <c r="V1105" s="904"/>
      <c r="W1105" s="904"/>
      <c r="X1105" s="904"/>
      <c r="Y1105" s="904"/>
    </row>
    <row r="1106" spans="1:25" x14ac:dyDescent="0.2">
      <c r="A1106" s="903"/>
      <c r="B1106" s="903"/>
      <c r="C1106" s="903"/>
      <c r="D1106" s="903"/>
      <c r="E1106" s="903"/>
      <c r="R1106" s="904"/>
      <c r="S1106" s="904"/>
      <c r="T1106" s="904"/>
      <c r="U1106" s="904"/>
      <c r="V1106" s="904"/>
      <c r="W1106" s="904"/>
      <c r="X1106" s="904"/>
      <c r="Y1106" s="904"/>
    </row>
    <row r="1107" spans="1:25" x14ac:dyDescent="0.2">
      <c r="A1107" s="903"/>
      <c r="B1107" s="903"/>
      <c r="C1107" s="903"/>
      <c r="D1107" s="903"/>
      <c r="E1107" s="903"/>
      <c r="R1107" s="904"/>
      <c r="S1107" s="904"/>
      <c r="T1107" s="904"/>
      <c r="U1107" s="904"/>
      <c r="V1107" s="904"/>
      <c r="W1107" s="904"/>
      <c r="X1107" s="904"/>
      <c r="Y1107" s="904"/>
    </row>
    <row r="1108" spans="1:25" x14ac:dyDescent="0.2">
      <c r="A1108" s="903"/>
      <c r="B1108" s="903"/>
      <c r="C1108" s="903"/>
      <c r="D1108" s="903"/>
      <c r="E1108" s="903"/>
      <c r="R1108" s="904"/>
      <c r="S1108" s="904"/>
      <c r="T1108" s="904"/>
      <c r="U1108" s="904"/>
      <c r="V1108" s="904"/>
      <c r="W1108" s="904"/>
      <c r="X1108" s="904"/>
      <c r="Y1108" s="904"/>
    </row>
    <row r="1109" spans="1:25" x14ac:dyDescent="0.2">
      <c r="A1109" s="903"/>
      <c r="B1109" s="903"/>
      <c r="C1109" s="903"/>
      <c r="D1109" s="903"/>
      <c r="E1109" s="903"/>
      <c r="R1109" s="904"/>
      <c r="S1109" s="904"/>
      <c r="T1109" s="904"/>
      <c r="U1109" s="904"/>
      <c r="V1109" s="904"/>
      <c r="W1109" s="904"/>
      <c r="X1109" s="904"/>
      <c r="Y1109" s="904"/>
    </row>
    <row r="1110" spans="1:25" x14ac:dyDescent="0.2">
      <c r="A1110" s="903"/>
      <c r="B1110" s="903"/>
      <c r="C1110" s="903"/>
      <c r="D1110" s="903"/>
      <c r="E1110" s="903"/>
      <c r="R1110" s="904"/>
      <c r="S1110" s="904"/>
      <c r="T1110" s="904"/>
      <c r="U1110" s="904"/>
      <c r="V1110" s="904"/>
      <c r="W1110" s="904"/>
      <c r="X1110" s="904"/>
      <c r="Y1110" s="904"/>
    </row>
    <row r="1111" spans="1:25" x14ac:dyDescent="0.2">
      <c r="A1111" s="903"/>
      <c r="B1111" s="903"/>
      <c r="C1111" s="903"/>
      <c r="D1111" s="903"/>
      <c r="E1111" s="903"/>
      <c r="R1111" s="904"/>
      <c r="S1111" s="904"/>
      <c r="T1111" s="904"/>
      <c r="U1111" s="904"/>
      <c r="V1111" s="904"/>
      <c r="W1111" s="904"/>
      <c r="X1111" s="904"/>
      <c r="Y1111" s="904"/>
    </row>
    <row r="1112" spans="1:25" x14ac:dyDescent="0.2">
      <c r="A1112" s="903"/>
      <c r="B1112" s="903"/>
      <c r="C1112" s="903"/>
      <c r="D1112" s="903"/>
      <c r="E1112" s="903"/>
      <c r="R1112" s="904"/>
      <c r="S1112" s="904"/>
      <c r="T1112" s="904"/>
      <c r="U1112" s="904"/>
      <c r="V1112" s="904"/>
      <c r="W1112" s="904"/>
      <c r="X1112" s="904"/>
      <c r="Y1112" s="904"/>
    </row>
    <row r="1113" spans="1:25" x14ac:dyDescent="0.2">
      <c r="A1113" s="903"/>
      <c r="B1113" s="903"/>
      <c r="C1113" s="903"/>
      <c r="D1113" s="903"/>
      <c r="E1113" s="903"/>
      <c r="R1113" s="904"/>
      <c r="S1113" s="904"/>
      <c r="T1113" s="904"/>
      <c r="U1113" s="904"/>
      <c r="V1113" s="904"/>
      <c r="W1113" s="904"/>
      <c r="X1113" s="904"/>
      <c r="Y1113" s="904"/>
    </row>
    <row r="1114" spans="1:25" x14ac:dyDescent="0.2">
      <c r="A1114" s="903"/>
      <c r="B1114" s="903"/>
      <c r="C1114" s="903"/>
      <c r="D1114" s="903"/>
      <c r="E1114" s="903"/>
      <c r="R1114" s="904"/>
      <c r="S1114" s="904"/>
      <c r="T1114" s="904"/>
      <c r="U1114" s="904"/>
      <c r="V1114" s="904"/>
      <c r="W1114" s="904"/>
      <c r="X1114" s="904"/>
      <c r="Y1114" s="904"/>
    </row>
    <row r="1115" spans="1:25" x14ac:dyDescent="0.2">
      <c r="A1115" s="903"/>
      <c r="B1115" s="903"/>
      <c r="C1115" s="903"/>
      <c r="D1115" s="903"/>
      <c r="E1115" s="903"/>
      <c r="R1115" s="904"/>
      <c r="S1115" s="904"/>
      <c r="T1115" s="904"/>
      <c r="U1115" s="904"/>
      <c r="V1115" s="904"/>
      <c r="W1115" s="904"/>
      <c r="X1115" s="904"/>
      <c r="Y1115" s="904"/>
    </row>
    <row r="1116" spans="1:25" x14ac:dyDescent="0.2">
      <c r="A1116" s="903"/>
      <c r="B1116" s="903"/>
      <c r="C1116" s="903"/>
      <c r="D1116" s="903"/>
      <c r="E1116" s="903"/>
      <c r="R1116" s="904"/>
      <c r="S1116" s="904"/>
      <c r="T1116" s="904"/>
      <c r="U1116" s="904"/>
      <c r="V1116" s="904"/>
      <c r="W1116" s="904"/>
      <c r="X1116" s="904"/>
      <c r="Y1116" s="904"/>
    </row>
    <row r="1117" spans="1:25" x14ac:dyDescent="0.2">
      <c r="A1117" s="903"/>
      <c r="B1117" s="903"/>
      <c r="C1117" s="903"/>
      <c r="D1117" s="903"/>
      <c r="E1117" s="903"/>
      <c r="R1117" s="904"/>
      <c r="S1117" s="904"/>
      <c r="T1117" s="904"/>
      <c r="U1117" s="904"/>
      <c r="V1117" s="904"/>
      <c r="W1117" s="904"/>
      <c r="X1117" s="904"/>
      <c r="Y1117" s="904"/>
    </row>
    <row r="1118" spans="1:25" x14ac:dyDescent="0.2">
      <c r="A1118" s="903"/>
      <c r="B1118" s="903"/>
      <c r="C1118" s="903"/>
      <c r="D1118" s="903"/>
      <c r="E1118" s="903"/>
      <c r="R1118" s="904"/>
      <c r="S1118" s="904"/>
      <c r="T1118" s="904"/>
      <c r="U1118" s="904"/>
      <c r="V1118" s="904"/>
      <c r="W1118" s="904"/>
      <c r="X1118" s="904"/>
      <c r="Y1118" s="904"/>
    </row>
    <row r="1119" spans="1:25" x14ac:dyDescent="0.2">
      <c r="A1119" s="903"/>
      <c r="B1119" s="903"/>
      <c r="C1119" s="903"/>
      <c r="D1119" s="903"/>
      <c r="E1119" s="903"/>
      <c r="R1119" s="904"/>
      <c r="S1119" s="904"/>
      <c r="T1119" s="904"/>
      <c r="U1119" s="904"/>
      <c r="V1119" s="904"/>
      <c r="W1119" s="904"/>
      <c r="X1119" s="904"/>
      <c r="Y1119" s="904"/>
    </row>
    <row r="1120" spans="1:25" x14ac:dyDescent="0.2">
      <c r="A1120" s="903"/>
      <c r="B1120" s="903"/>
      <c r="C1120" s="903"/>
      <c r="D1120" s="903"/>
      <c r="E1120" s="903"/>
      <c r="R1120" s="904"/>
      <c r="S1120" s="904"/>
      <c r="T1120" s="904"/>
      <c r="U1120" s="904"/>
      <c r="V1120" s="904"/>
      <c r="W1120" s="904"/>
      <c r="X1120" s="904"/>
      <c r="Y1120" s="904"/>
    </row>
    <row r="1121" spans="1:25" x14ac:dyDescent="0.2">
      <c r="A1121" s="903"/>
      <c r="B1121" s="903"/>
      <c r="C1121" s="903"/>
      <c r="D1121" s="903"/>
      <c r="E1121" s="903"/>
      <c r="R1121" s="904"/>
      <c r="S1121" s="904"/>
      <c r="T1121" s="904"/>
      <c r="U1121" s="904"/>
      <c r="V1121" s="904"/>
      <c r="W1121" s="904"/>
      <c r="X1121" s="904"/>
      <c r="Y1121" s="904"/>
    </row>
    <row r="1122" spans="1:25" x14ac:dyDescent="0.2">
      <c r="A1122" s="903"/>
      <c r="B1122" s="903"/>
      <c r="C1122" s="903"/>
      <c r="D1122" s="903"/>
      <c r="E1122" s="903"/>
      <c r="R1122" s="904"/>
      <c r="S1122" s="904"/>
      <c r="T1122" s="904"/>
      <c r="U1122" s="904"/>
      <c r="V1122" s="904"/>
      <c r="W1122" s="904"/>
      <c r="X1122" s="904"/>
      <c r="Y1122" s="904"/>
    </row>
    <row r="1123" spans="1:25" x14ac:dyDescent="0.2">
      <c r="A1123" s="903"/>
      <c r="B1123" s="903"/>
      <c r="C1123" s="903"/>
      <c r="D1123" s="903"/>
      <c r="E1123" s="903"/>
      <c r="R1123" s="904"/>
      <c r="S1123" s="904"/>
      <c r="T1123" s="904"/>
      <c r="U1123" s="904"/>
      <c r="V1123" s="904"/>
      <c r="W1123" s="904"/>
      <c r="X1123" s="904"/>
      <c r="Y1123" s="904"/>
    </row>
    <row r="1124" spans="1:25" x14ac:dyDescent="0.2">
      <c r="A1124" s="903"/>
      <c r="B1124" s="903"/>
      <c r="C1124" s="903"/>
      <c r="D1124" s="903"/>
      <c r="E1124" s="903"/>
      <c r="R1124" s="904"/>
      <c r="S1124" s="904"/>
      <c r="T1124" s="904"/>
      <c r="U1124" s="904"/>
      <c r="V1124" s="904"/>
      <c r="W1124" s="904"/>
      <c r="X1124" s="904"/>
      <c r="Y1124" s="904"/>
    </row>
    <row r="1125" spans="1:25" x14ac:dyDescent="0.2">
      <c r="A1125" s="903"/>
      <c r="B1125" s="903"/>
      <c r="C1125" s="903"/>
      <c r="D1125" s="903"/>
      <c r="E1125" s="903"/>
      <c r="R1125" s="904"/>
      <c r="S1125" s="904"/>
      <c r="T1125" s="904"/>
      <c r="U1125" s="904"/>
      <c r="V1125" s="904"/>
      <c r="W1125" s="904"/>
      <c r="X1125" s="904"/>
      <c r="Y1125" s="904"/>
    </row>
    <row r="1126" spans="1:25" x14ac:dyDescent="0.2">
      <c r="A1126" s="903"/>
      <c r="B1126" s="903"/>
      <c r="C1126" s="903"/>
      <c r="D1126" s="903"/>
      <c r="E1126" s="903"/>
      <c r="R1126" s="904"/>
      <c r="S1126" s="904"/>
      <c r="T1126" s="904"/>
      <c r="U1126" s="904"/>
      <c r="V1126" s="904"/>
      <c r="W1126" s="904"/>
      <c r="X1126" s="904"/>
      <c r="Y1126" s="904"/>
    </row>
    <row r="1127" spans="1:25" x14ac:dyDescent="0.2">
      <c r="A1127" s="903"/>
      <c r="B1127" s="903"/>
      <c r="C1127" s="903"/>
      <c r="D1127" s="903"/>
      <c r="E1127" s="903"/>
      <c r="R1127" s="904"/>
      <c r="S1127" s="904"/>
      <c r="T1127" s="904"/>
      <c r="U1127" s="904"/>
      <c r="V1127" s="904"/>
      <c r="W1127" s="904"/>
      <c r="X1127" s="904"/>
      <c r="Y1127" s="904"/>
    </row>
    <row r="1128" spans="1:25" x14ac:dyDescent="0.2">
      <c r="A1128" s="903"/>
      <c r="B1128" s="903"/>
      <c r="C1128" s="903"/>
      <c r="D1128" s="903"/>
      <c r="E1128" s="903"/>
      <c r="R1128" s="904"/>
      <c r="S1128" s="904"/>
      <c r="T1128" s="904"/>
      <c r="U1128" s="904"/>
      <c r="V1128" s="904"/>
      <c r="W1128" s="904"/>
      <c r="X1128" s="904"/>
      <c r="Y1128" s="904"/>
    </row>
    <row r="1129" spans="1:25" x14ac:dyDescent="0.2">
      <c r="A1129" s="903"/>
      <c r="B1129" s="903"/>
      <c r="C1129" s="903"/>
      <c r="D1129" s="903"/>
      <c r="E1129" s="903"/>
      <c r="R1129" s="904"/>
      <c r="S1129" s="904"/>
      <c r="T1129" s="904"/>
      <c r="U1129" s="904"/>
      <c r="V1129" s="904"/>
      <c r="W1129" s="904"/>
      <c r="X1129" s="904"/>
      <c r="Y1129" s="904"/>
    </row>
    <row r="1130" spans="1:25" x14ac:dyDescent="0.2">
      <c r="A1130" s="903"/>
      <c r="B1130" s="903"/>
      <c r="C1130" s="903"/>
      <c r="D1130" s="903"/>
      <c r="E1130" s="903"/>
      <c r="R1130" s="904"/>
      <c r="S1130" s="904"/>
      <c r="T1130" s="904"/>
      <c r="U1130" s="904"/>
      <c r="V1130" s="904"/>
      <c r="W1130" s="904"/>
      <c r="X1130" s="904"/>
      <c r="Y1130" s="904"/>
    </row>
    <row r="1131" spans="1:25" x14ac:dyDescent="0.2">
      <c r="A1131" s="903"/>
      <c r="B1131" s="903"/>
      <c r="C1131" s="903"/>
      <c r="D1131" s="903"/>
      <c r="E1131" s="903"/>
      <c r="R1131" s="904"/>
      <c r="S1131" s="904"/>
      <c r="T1131" s="904"/>
      <c r="U1131" s="904"/>
      <c r="V1131" s="904"/>
      <c r="W1131" s="904"/>
      <c r="X1131" s="904"/>
      <c r="Y1131" s="904"/>
    </row>
    <row r="1132" spans="1:25" x14ac:dyDescent="0.2">
      <c r="A1132" s="903"/>
      <c r="B1132" s="903"/>
      <c r="C1132" s="903"/>
      <c r="D1132" s="903"/>
      <c r="E1132" s="903"/>
      <c r="R1132" s="904"/>
      <c r="S1132" s="904"/>
      <c r="T1132" s="904"/>
      <c r="U1132" s="904"/>
      <c r="V1132" s="904"/>
      <c r="W1132" s="904"/>
      <c r="X1132" s="904"/>
      <c r="Y1132" s="904"/>
    </row>
    <row r="1133" spans="1:25" x14ac:dyDescent="0.2">
      <c r="A1133" s="903"/>
      <c r="B1133" s="903"/>
      <c r="C1133" s="903"/>
      <c r="D1133" s="903"/>
      <c r="E1133" s="903"/>
      <c r="R1133" s="904"/>
      <c r="S1133" s="904"/>
      <c r="T1133" s="904"/>
      <c r="U1133" s="904"/>
      <c r="V1133" s="904"/>
      <c r="W1133" s="904"/>
      <c r="X1133" s="904"/>
      <c r="Y1133" s="904"/>
    </row>
    <row r="1134" spans="1:25" x14ac:dyDescent="0.2">
      <c r="A1134" s="903"/>
      <c r="B1134" s="903"/>
      <c r="C1134" s="903"/>
      <c r="D1134" s="903"/>
      <c r="E1134" s="903"/>
      <c r="R1134" s="904"/>
      <c r="S1134" s="904"/>
      <c r="T1134" s="904"/>
      <c r="U1134" s="904"/>
      <c r="V1134" s="904"/>
      <c r="W1134" s="904"/>
      <c r="X1134" s="904"/>
      <c r="Y1134" s="904"/>
    </row>
    <row r="1135" spans="1:25" x14ac:dyDescent="0.2">
      <c r="A1135" s="903"/>
      <c r="B1135" s="903"/>
      <c r="C1135" s="903"/>
      <c r="D1135" s="903"/>
      <c r="E1135" s="903"/>
      <c r="R1135" s="904"/>
      <c r="S1135" s="904"/>
      <c r="T1135" s="904"/>
      <c r="U1135" s="904"/>
      <c r="V1135" s="904"/>
      <c r="W1135" s="904"/>
      <c r="X1135" s="904"/>
      <c r="Y1135" s="904"/>
    </row>
    <row r="1136" spans="1:25" x14ac:dyDescent="0.2">
      <c r="A1136" s="903"/>
      <c r="B1136" s="903"/>
      <c r="C1136" s="903"/>
      <c r="D1136" s="903"/>
      <c r="E1136" s="903"/>
      <c r="R1136" s="904"/>
      <c r="S1136" s="904"/>
      <c r="T1136" s="904"/>
      <c r="U1136" s="904"/>
      <c r="V1136" s="904"/>
      <c r="W1136" s="904"/>
      <c r="X1136" s="904"/>
      <c r="Y1136" s="904"/>
    </row>
    <row r="1137" spans="1:25" x14ac:dyDescent="0.2">
      <c r="A1137" s="903"/>
      <c r="B1137" s="903"/>
      <c r="C1137" s="903"/>
      <c r="D1137" s="903"/>
      <c r="E1137" s="903"/>
      <c r="R1137" s="904"/>
      <c r="S1137" s="904"/>
      <c r="T1137" s="904"/>
      <c r="U1137" s="904"/>
      <c r="V1137" s="904"/>
      <c r="W1137" s="904"/>
      <c r="X1137" s="904"/>
      <c r="Y1137" s="904"/>
    </row>
    <row r="1138" spans="1:25" x14ac:dyDescent="0.2">
      <c r="A1138" s="903"/>
      <c r="B1138" s="903"/>
      <c r="C1138" s="903"/>
      <c r="D1138" s="903"/>
      <c r="E1138" s="903"/>
      <c r="R1138" s="904"/>
      <c r="S1138" s="904"/>
      <c r="T1138" s="904"/>
      <c r="U1138" s="904"/>
      <c r="V1138" s="904"/>
      <c r="W1138" s="904"/>
      <c r="X1138" s="904"/>
      <c r="Y1138" s="904"/>
    </row>
    <row r="1139" spans="1:25" x14ac:dyDescent="0.2">
      <c r="A1139" s="903"/>
      <c r="B1139" s="903"/>
      <c r="C1139" s="903"/>
      <c r="D1139" s="903"/>
      <c r="E1139" s="903"/>
      <c r="R1139" s="904"/>
      <c r="S1139" s="904"/>
      <c r="T1139" s="904"/>
      <c r="U1139" s="904"/>
      <c r="V1139" s="904"/>
      <c r="W1139" s="904"/>
      <c r="X1139" s="904"/>
      <c r="Y1139" s="904"/>
    </row>
    <row r="1140" spans="1:25" x14ac:dyDescent="0.2">
      <c r="A1140" s="903"/>
      <c r="B1140" s="903"/>
      <c r="C1140" s="903"/>
      <c r="D1140" s="903"/>
      <c r="E1140" s="903"/>
      <c r="R1140" s="904"/>
      <c r="S1140" s="904"/>
      <c r="T1140" s="904"/>
      <c r="U1140" s="904"/>
      <c r="V1140" s="904"/>
      <c r="W1140" s="904"/>
      <c r="X1140" s="904"/>
      <c r="Y1140" s="904"/>
    </row>
    <row r="1141" spans="1:25" x14ac:dyDescent="0.2">
      <c r="A1141" s="903"/>
      <c r="B1141" s="903"/>
      <c r="C1141" s="903"/>
      <c r="D1141" s="903"/>
      <c r="E1141" s="903"/>
      <c r="R1141" s="904"/>
      <c r="S1141" s="904"/>
      <c r="T1141" s="904"/>
      <c r="U1141" s="904"/>
      <c r="V1141" s="904"/>
      <c r="W1141" s="904"/>
      <c r="X1141" s="904"/>
      <c r="Y1141" s="904"/>
    </row>
    <row r="1142" spans="1:25" x14ac:dyDescent="0.2">
      <c r="A1142" s="903"/>
      <c r="B1142" s="903"/>
      <c r="C1142" s="903"/>
      <c r="D1142" s="903"/>
      <c r="E1142" s="903"/>
      <c r="R1142" s="904"/>
      <c r="S1142" s="904"/>
      <c r="T1142" s="904"/>
      <c r="U1142" s="904"/>
      <c r="V1142" s="904"/>
      <c r="W1142" s="904"/>
      <c r="X1142" s="904"/>
      <c r="Y1142" s="904"/>
    </row>
    <row r="1143" spans="1:25" x14ac:dyDescent="0.2">
      <c r="A1143" s="903"/>
      <c r="B1143" s="903"/>
      <c r="C1143" s="903"/>
      <c r="D1143" s="903"/>
      <c r="E1143" s="903"/>
      <c r="R1143" s="904"/>
      <c r="S1143" s="904"/>
      <c r="T1143" s="904"/>
      <c r="U1143" s="904"/>
      <c r="V1143" s="904"/>
      <c r="W1143" s="904"/>
      <c r="X1143" s="904"/>
      <c r="Y1143" s="904"/>
    </row>
    <row r="1144" spans="1:25" x14ac:dyDescent="0.2">
      <c r="A1144" s="903"/>
      <c r="B1144" s="903"/>
      <c r="C1144" s="903"/>
      <c r="D1144" s="903"/>
      <c r="E1144" s="903"/>
      <c r="R1144" s="904"/>
      <c r="S1144" s="904"/>
      <c r="T1144" s="904"/>
      <c r="U1144" s="904"/>
      <c r="V1144" s="904"/>
      <c r="W1144" s="904"/>
      <c r="X1144" s="904"/>
      <c r="Y1144" s="904"/>
    </row>
    <row r="1145" spans="1:25" x14ac:dyDescent="0.2">
      <c r="A1145" s="903"/>
      <c r="B1145" s="903"/>
      <c r="C1145" s="903"/>
      <c r="D1145" s="903"/>
      <c r="E1145" s="903"/>
      <c r="R1145" s="904"/>
      <c r="S1145" s="904"/>
      <c r="T1145" s="904"/>
      <c r="U1145" s="904"/>
      <c r="V1145" s="904"/>
      <c r="W1145" s="904"/>
      <c r="X1145" s="904"/>
      <c r="Y1145" s="904"/>
    </row>
    <row r="1146" spans="1:25" x14ac:dyDescent="0.2">
      <c r="A1146" s="903"/>
      <c r="B1146" s="903"/>
      <c r="C1146" s="903"/>
      <c r="D1146" s="903"/>
      <c r="E1146" s="903"/>
      <c r="R1146" s="904"/>
      <c r="S1146" s="904"/>
      <c r="T1146" s="904"/>
      <c r="U1146" s="904"/>
      <c r="V1146" s="904"/>
      <c r="W1146" s="904"/>
      <c r="X1146" s="904"/>
      <c r="Y1146" s="904"/>
    </row>
    <row r="1147" spans="1:25" x14ac:dyDescent="0.2">
      <c r="A1147" s="903"/>
      <c r="B1147" s="903"/>
      <c r="C1147" s="903"/>
      <c r="D1147" s="903"/>
      <c r="E1147" s="903"/>
      <c r="R1147" s="904"/>
      <c r="S1147" s="904"/>
      <c r="T1147" s="904"/>
      <c r="U1147" s="904"/>
      <c r="V1147" s="904"/>
      <c r="W1147" s="904"/>
      <c r="X1147" s="904"/>
      <c r="Y1147" s="904"/>
    </row>
    <row r="1148" spans="1:25" x14ac:dyDescent="0.2">
      <c r="A1148" s="903"/>
      <c r="B1148" s="903"/>
      <c r="C1148" s="903"/>
      <c r="D1148" s="903"/>
      <c r="E1148" s="903"/>
      <c r="R1148" s="904"/>
      <c r="S1148" s="904"/>
      <c r="T1148" s="904"/>
      <c r="U1148" s="904"/>
      <c r="V1148" s="904"/>
      <c r="W1148" s="904"/>
      <c r="X1148" s="904"/>
      <c r="Y1148" s="904"/>
    </row>
    <row r="1149" spans="1:25" x14ac:dyDescent="0.2">
      <c r="A1149" s="903"/>
      <c r="B1149" s="903"/>
      <c r="C1149" s="903"/>
      <c r="D1149" s="903"/>
      <c r="E1149" s="903"/>
      <c r="R1149" s="904"/>
      <c r="S1149" s="904"/>
      <c r="T1149" s="904"/>
      <c r="U1149" s="904"/>
      <c r="V1149" s="904"/>
      <c r="W1149" s="904"/>
      <c r="X1149" s="904"/>
      <c r="Y1149" s="904"/>
    </row>
    <row r="1150" spans="1:25" x14ac:dyDescent="0.2">
      <c r="A1150" s="903"/>
      <c r="B1150" s="903"/>
      <c r="C1150" s="903"/>
      <c r="D1150" s="903"/>
      <c r="E1150" s="903"/>
      <c r="R1150" s="904"/>
      <c r="S1150" s="904"/>
      <c r="T1150" s="904"/>
      <c r="U1150" s="904"/>
      <c r="V1150" s="904"/>
      <c r="W1150" s="904"/>
      <c r="X1150" s="904"/>
      <c r="Y1150" s="904"/>
    </row>
    <row r="1151" spans="1:25" x14ac:dyDescent="0.2">
      <c r="A1151" s="903"/>
      <c r="B1151" s="903"/>
      <c r="C1151" s="903"/>
      <c r="D1151" s="903"/>
      <c r="E1151" s="903"/>
      <c r="R1151" s="904"/>
      <c r="S1151" s="904"/>
      <c r="T1151" s="904"/>
      <c r="U1151" s="904"/>
      <c r="V1151" s="904"/>
      <c r="W1151" s="904"/>
      <c r="X1151" s="904"/>
      <c r="Y1151" s="904"/>
    </row>
    <row r="1152" spans="1:25" x14ac:dyDescent="0.2">
      <c r="A1152" s="903"/>
      <c r="B1152" s="903"/>
      <c r="C1152" s="903"/>
      <c r="D1152" s="903"/>
      <c r="E1152" s="903"/>
      <c r="R1152" s="904"/>
      <c r="S1152" s="904"/>
      <c r="T1152" s="904"/>
      <c r="U1152" s="904"/>
      <c r="V1152" s="904"/>
      <c r="W1152" s="904"/>
      <c r="X1152" s="904"/>
      <c r="Y1152" s="904"/>
    </row>
    <row r="1153" spans="1:25" x14ac:dyDescent="0.2">
      <c r="A1153" s="903"/>
      <c r="B1153" s="903"/>
      <c r="C1153" s="903"/>
      <c r="D1153" s="903"/>
      <c r="E1153" s="903"/>
      <c r="R1153" s="904"/>
      <c r="S1153" s="904"/>
      <c r="T1153" s="904"/>
      <c r="U1153" s="904"/>
      <c r="V1153" s="904"/>
      <c r="W1153" s="904"/>
      <c r="X1153" s="904"/>
      <c r="Y1153" s="904"/>
    </row>
    <row r="1154" spans="1:25" x14ac:dyDescent="0.2">
      <c r="A1154" s="903"/>
      <c r="B1154" s="903"/>
      <c r="C1154" s="903"/>
      <c r="D1154" s="903"/>
      <c r="E1154" s="903"/>
      <c r="R1154" s="904"/>
      <c r="S1154" s="904"/>
      <c r="T1154" s="904"/>
      <c r="U1154" s="904"/>
      <c r="V1154" s="904"/>
      <c r="W1154" s="904"/>
      <c r="X1154" s="904"/>
      <c r="Y1154" s="904"/>
    </row>
    <row r="1155" spans="1:25" x14ac:dyDescent="0.2">
      <c r="A1155" s="903"/>
      <c r="B1155" s="903"/>
      <c r="C1155" s="903"/>
      <c r="D1155" s="903"/>
      <c r="E1155" s="903"/>
      <c r="R1155" s="904"/>
      <c r="S1155" s="904"/>
      <c r="T1155" s="904"/>
      <c r="U1155" s="904"/>
      <c r="V1155" s="904"/>
      <c r="W1155" s="904"/>
      <c r="X1155" s="904"/>
      <c r="Y1155" s="904"/>
    </row>
    <row r="1156" spans="1:25" x14ac:dyDescent="0.2">
      <c r="A1156" s="903"/>
      <c r="B1156" s="903"/>
      <c r="C1156" s="903"/>
      <c r="D1156" s="903"/>
      <c r="E1156" s="903"/>
      <c r="R1156" s="904"/>
      <c r="S1156" s="904"/>
      <c r="T1156" s="904"/>
      <c r="U1156" s="904"/>
      <c r="V1156" s="904"/>
      <c r="W1156" s="904"/>
      <c r="X1156" s="904"/>
      <c r="Y1156" s="904"/>
    </row>
    <row r="1157" spans="1:25" x14ac:dyDescent="0.2">
      <c r="A1157" s="903"/>
      <c r="B1157" s="903"/>
      <c r="C1157" s="903"/>
      <c r="D1157" s="903"/>
      <c r="E1157" s="903"/>
      <c r="R1157" s="904"/>
      <c r="S1157" s="904"/>
      <c r="T1157" s="904"/>
      <c r="U1157" s="904"/>
      <c r="V1157" s="904"/>
      <c r="W1157" s="904"/>
      <c r="X1157" s="904"/>
      <c r="Y1157" s="904"/>
    </row>
    <row r="1158" spans="1:25" x14ac:dyDescent="0.2">
      <c r="A1158" s="903"/>
      <c r="B1158" s="903"/>
      <c r="C1158" s="903"/>
      <c r="D1158" s="903"/>
      <c r="E1158" s="903"/>
      <c r="R1158" s="904"/>
      <c r="S1158" s="904"/>
      <c r="T1158" s="904"/>
      <c r="U1158" s="904"/>
      <c r="V1158" s="904"/>
      <c r="W1158" s="904"/>
      <c r="X1158" s="904"/>
      <c r="Y1158" s="904"/>
    </row>
    <row r="1159" spans="1:25" x14ac:dyDescent="0.2">
      <c r="A1159" s="903"/>
      <c r="B1159" s="903"/>
      <c r="C1159" s="903"/>
      <c r="D1159" s="903"/>
      <c r="E1159" s="903"/>
      <c r="R1159" s="904"/>
      <c r="S1159" s="904"/>
      <c r="T1159" s="904"/>
      <c r="U1159" s="904"/>
      <c r="V1159" s="904"/>
      <c r="W1159" s="904"/>
      <c r="X1159" s="904"/>
      <c r="Y1159" s="904"/>
    </row>
    <row r="1160" spans="1:25" x14ac:dyDescent="0.2">
      <c r="A1160" s="903"/>
      <c r="B1160" s="903"/>
      <c r="C1160" s="903"/>
      <c r="D1160" s="903"/>
      <c r="E1160" s="903"/>
      <c r="R1160" s="904"/>
      <c r="S1160" s="904"/>
      <c r="T1160" s="904"/>
      <c r="U1160" s="904"/>
      <c r="V1160" s="904"/>
      <c r="W1160" s="904"/>
      <c r="X1160" s="904"/>
      <c r="Y1160" s="904"/>
    </row>
    <row r="1161" spans="1:25" x14ac:dyDescent="0.2">
      <c r="A1161" s="903"/>
      <c r="B1161" s="903"/>
      <c r="C1161" s="903"/>
      <c r="D1161" s="903"/>
      <c r="E1161" s="903"/>
      <c r="R1161" s="904"/>
      <c r="S1161" s="904"/>
      <c r="T1161" s="904"/>
      <c r="U1161" s="904"/>
      <c r="V1161" s="904"/>
      <c r="W1161" s="904"/>
      <c r="X1161" s="904"/>
      <c r="Y1161" s="904"/>
    </row>
    <row r="1162" spans="1:25" x14ac:dyDescent="0.2">
      <c r="A1162" s="903"/>
      <c r="B1162" s="903"/>
      <c r="C1162" s="903"/>
      <c r="D1162" s="903"/>
      <c r="E1162" s="903"/>
      <c r="R1162" s="904"/>
      <c r="S1162" s="904"/>
      <c r="T1162" s="904"/>
      <c r="U1162" s="904"/>
      <c r="V1162" s="904"/>
      <c r="W1162" s="904"/>
      <c r="X1162" s="904"/>
      <c r="Y1162" s="904"/>
    </row>
    <row r="1163" spans="1:25" x14ac:dyDescent="0.2">
      <c r="A1163" s="903"/>
      <c r="B1163" s="903"/>
      <c r="C1163" s="903"/>
      <c r="D1163" s="903"/>
      <c r="E1163" s="903"/>
      <c r="R1163" s="904"/>
      <c r="S1163" s="904"/>
      <c r="T1163" s="904"/>
      <c r="U1163" s="904"/>
      <c r="V1163" s="904"/>
      <c r="W1163" s="904"/>
      <c r="X1163" s="904"/>
      <c r="Y1163" s="904"/>
    </row>
    <row r="1164" spans="1:25" x14ac:dyDescent="0.2">
      <c r="A1164" s="903"/>
      <c r="B1164" s="903"/>
      <c r="C1164" s="903"/>
      <c r="D1164" s="903"/>
      <c r="E1164" s="903"/>
      <c r="R1164" s="904"/>
      <c r="S1164" s="904"/>
      <c r="T1164" s="904"/>
      <c r="U1164" s="904"/>
      <c r="V1164" s="904"/>
      <c r="W1164" s="904"/>
      <c r="X1164" s="904"/>
      <c r="Y1164" s="904"/>
    </row>
    <row r="1165" spans="1:25" x14ac:dyDescent="0.2">
      <c r="A1165" s="903"/>
      <c r="B1165" s="903"/>
      <c r="C1165" s="903"/>
      <c r="D1165" s="903"/>
      <c r="E1165" s="903"/>
      <c r="R1165" s="904"/>
      <c r="S1165" s="904"/>
      <c r="T1165" s="904"/>
      <c r="U1165" s="904"/>
      <c r="V1165" s="904"/>
      <c r="W1165" s="904"/>
      <c r="X1165" s="904"/>
      <c r="Y1165" s="904"/>
    </row>
    <row r="1166" spans="1:25" x14ac:dyDescent="0.2">
      <c r="A1166" s="903"/>
      <c r="B1166" s="903"/>
      <c r="C1166" s="903"/>
      <c r="D1166" s="903"/>
      <c r="E1166" s="903"/>
      <c r="R1166" s="904"/>
      <c r="S1166" s="904"/>
      <c r="T1166" s="904"/>
      <c r="U1166" s="904"/>
      <c r="V1166" s="904"/>
      <c r="W1166" s="904"/>
      <c r="X1166" s="904"/>
      <c r="Y1166" s="904"/>
    </row>
    <row r="1167" spans="1:25" x14ac:dyDescent="0.2">
      <c r="A1167" s="903"/>
      <c r="B1167" s="903"/>
      <c r="C1167" s="903"/>
      <c r="D1167" s="903"/>
      <c r="E1167" s="903"/>
      <c r="R1167" s="904"/>
      <c r="S1167" s="904"/>
      <c r="T1167" s="904"/>
      <c r="U1167" s="904"/>
      <c r="V1167" s="904"/>
      <c r="W1167" s="904"/>
      <c r="X1167" s="904"/>
      <c r="Y1167" s="904"/>
    </row>
    <row r="1168" spans="1:25" x14ac:dyDescent="0.2">
      <c r="A1168" s="903"/>
      <c r="B1168" s="903"/>
      <c r="C1168" s="903"/>
      <c r="D1168" s="903"/>
      <c r="E1168" s="903"/>
      <c r="R1168" s="904"/>
      <c r="S1168" s="904"/>
      <c r="T1168" s="904"/>
      <c r="U1168" s="904"/>
      <c r="V1168" s="904"/>
      <c r="W1168" s="904"/>
      <c r="X1168" s="904"/>
      <c r="Y1168" s="904"/>
    </row>
    <row r="1169" spans="1:25" x14ac:dyDescent="0.2">
      <c r="A1169" s="903"/>
      <c r="B1169" s="903"/>
      <c r="C1169" s="903"/>
      <c r="D1169" s="903"/>
      <c r="E1169" s="903"/>
      <c r="R1169" s="904"/>
      <c r="S1169" s="904"/>
      <c r="T1169" s="904"/>
      <c r="U1169" s="904"/>
      <c r="V1169" s="904"/>
      <c r="W1169" s="904"/>
      <c r="X1169" s="904"/>
      <c r="Y1169" s="904"/>
    </row>
    <row r="1170" spans="1:25" x14ac:dyDescent="0.2">
      <c r="A1170" s="903"/>
      <c r="B1170" s="903"/>
      <c r="C1170" s="903"/>
      <c r="D1170" s="903"/>
      <c r="E1170" s="903"/>
      <c r="R1170" s="904"/>
      <c r="S1170" s="904"/>
      <c r="T1170" s="904"/>
      <c r="U1170" s="904"/>
      <c r="V1170" s="904"/>
      <c r="W1170" s="904"/>
      <c r="X1170" s="904"/>
      <c r="Y1170" s="904"/>
    </row>
    <row r="1171" spans="1:25" x14ac:dyDescent="0.2">
      <c r="A1171" s="903"/>
      <c r="B1171" s="903"/>
      <c r="C1171" s="903"/>
      <c r="D1171" s="903"/>
      <c r="E1171" s="903"/>
      <c r="R1171" s="904"/>
      <c r="S1171" s="904"/>
      <c r="T1171" s="904"/>
      <c r="U1171" s="904"/>
      <c r="V1171" s="904"/>
      <c r="W1171" s="904"/>
      <c r="X1171" s="904"/>
      <c r="Y1171" s="904"/>
    </row>
    <row r="1172" spans="1:25" x14ac:dyDescent="0.2">
      <c r="A1172" s="903"/>
      <c r="B1172" s="903"/>
      <c r="C1172" s="903"/>
      <c r="D1172" s="903"/>
      <c r="E1172" s="903"/>
      <c r="R1172" s="904"/>
      <c r="S1172" s="904"/>
      <c r="T1172" s="904"/>
      <c r="U1172" s="904"/>
      <c r="V1172" s="904"/>
      <c r="W1172" s="904"/>
      <c r="X1172" s="904"/>
      <c r="Y1172" s="904"/>
    </row>
    <row r="1173" spans="1:25" x14ac:dyDescent="0.2">
      <c r="A1173" s="903"/>
      <c r="B1173" s="903"/>
      <c r="C1173" s="903"/>
      <c r="D1173" s="903"/>
      <c r="E1173" s="903"/>
      <c r="R1173" s="904"/>
      <c r="S1173" s="904"/>
      <c r="T1173" s="904"/>
      <c r="U1173" s="904"/>
      <c r="V1173" s="904"/>
      <c r="W1173" s="904"/>
      <c r="X1173" s="904"/>
      <c r="Y1173" s="904"/>
    </row>
    <row r="1174" spans="1:25" x14ac:dyDescent="0.2">
      <c r="A1174" s="903"/>
      <c r="B1174" s="903"/>
      <c r="C1174" s="903"/>
      <c r="D1174" s="903"/>
      <c r="E1174" s="903"/>
      <c r="R1174" s="904"/>
      <c r="S1174" s="904"/>
      <c r="T1174" s="904"/>
      <c r="U1174" s="904"/>
      <c r="V1174" s="904"/>
      <c r="W1174" s="904"/>
      <c r="X1174" s="904"/>
      <c r="Y1174" s="904"/>
    </row>
    <row r="1175" spans="1:25" x14ac:dyDescent="0.2">
      <c r="A1175" s="903"/>
      <c r="B1175" s="903"/>
      <c r="C1175" s="903"/>
      <c r="D1175" s="903"/>
      <c r="E1175" s="903"/>
      <c r="R1175" s="904"/>
      <c r="S1175" s="904"/>
      <c r="T1175" s="904"/>
      <c r="U1175" s="904"/>
      <c r="V1175" s="904"/>
      <c r="W1175" s="904"/>
      <c r="X1175" s="904"/>
      <c r="Y1175" s="904"/>
    </row>
    <row r="1176" spans="1:25" x14ac:dyDescent="0.2">
      <c r="A1176" s="903"/>
      <c r="B1176" s="903"/>
      <c r="C1176" s="903"/>
      <c r="D1176" s="903"/>
      <c r="E1176" s="903"/>
      <c r="R1176" s="904"/>
      <c r="S1176" s="904"/>
      <c r="T1176" s="904"/>
      <c r="U1176" s="904"/>
      <c r="V1176" s="904"/>
      <c r="W1176" s="904"/>
      <c r="X1176" s="904"/>
      <c r="Y1176" s="904"/>
    </row>
    <row r="1177" spans="1:25" x14ac:dyDescent="0.2">
      <c r="A1177" s="903"/>
      <c r="B1177" s="903"/>
      <c r="C1177" s="903"/>
      <c r="D1177" s="903"/>
      <c r="E1177" s="903"/>
      <c r="R1177" s="904"/>
      <c r="S1177" s="904"/>
      <c r="T1177" s="904"/>
      <c r="U1177" s="904"/>
      <c r="V1177" s="904"/>
      <c r="W1177" s="904"/>
      <c r="X1177" s="904"/>
      <c r="Y1177" s="904"/>
    </row>
    <row r="1178" spans="1:25" x14ac:dyDescent="0.2">
      <c r="A1178" s="903"/>
      <c r="B1178" s="903"/>
      <c r="C1178" s="903"/>
      <c r="D1178" s="903"/>
      <c r="E1178" s="903"/>
      <c r="R1178" s="904"/>
      <c r="S1178" s="904"/>
      <c r="T1178" s="904"/>
      <c r="U1178" s="904"/>
      <c r="V1178" s="904"/>
      <c r="W1178" s="904"/>
      <c r="X1178" s="904"/>
      <c r="Y1178" s="904"/>
    </row>
    <row r="1179" spans="1:25" x14ac:dyDescent="0.2">
      <c r="A1179" s="903"/>
      <c r="B1179" s="903"/>
      <c r="C1179" s="903"/>
      <c r="D1179" s="903"/>
      <c r="E1179" s="903"/>
      <c r="R1179" s="904"/>
      <c r="S1179" s="904"/>
      <c r="T1179" s="904"/>
      <c r="U1179" s="904"/>
      <c r="V1179" s="904"/>
      <c r="W1179" s="904"/>
      <c r="X1179" s="904"/>
      <c r="Y1179" s="904"/>
    </row>
    <row r="1180" spans="1:25" x14ac:dyDescent="0.2">
      <c r="A1180" s="903"/>
      <c r="B1180" s="903"/>
      <c r="C1180" s="903"/>
      <c r="D1180" s="903"/>
      <c r="E1180" s="903"/>
      <c r="R1180" s="904"/>
      <c r="S1180" s="904"/>
      <c r="T1180" s="904"/>
      <c r="U1180" s="904"/>
      <c r="V1180" s="904"/>
      <c r="W1180" s="904"/>
      <c r="X1180" s="904"/>
      <c r="Y1180" s="904"/>
    </row>
    <row r="1181" spans="1:25" x14ac:dyDescent="0.2">
      <c r="A1181" s="903"/>
      <c r="B1181" s="903"/>
      <c r="C1181" s="903"/>
      <c r="D1181" s="903"/>
      <c r="E1181" s="903"/>
      <c r="R1181" s="904"/>
      <c r="S1181" s="904"/>
      <c r="T1181" s="904"/>
      <c r="U1181" s="904"/>
      <c r="V1181" s="904"/>
      <c r="W1181" s="904"/>
      <c r="X1181" s="904"/>
      <c r="Y1181" s="904"/>
    </row>
    <row r="1182" spans="1:25" x14ac:dyDescent="0.2">
      <c r="A1182" s="903"/>
      <c r="B1182" s="903"/>
      <c r="C1182" s="903"/>
      <c r="D1182" s="903"/>
      <c r="E1182" s="903"/>
      <c r="R1182" s="904"/>
      <c r="S1182" s="904"/>
      <c r="T1182" s="904"/>
      <c r="U1182" s="904"/>
      <c r="V1182" s="904"/>
      <c r="W1182" s="904"/>
      <c r="X1182" s="904"/>
      <c r="Y1182" s="904"/>
    </row>
    <row r="1183" spans="1:25" x14ac:dyDescent="0.2">
      <c r="A1183" s="903"/>
      <c r="B1183" s="903"/>
      <c r="C1183" s="903"/>
      <c r="D1183" s="903"/>
      <c r="E1183" s="903"/>
      <c r="R1183" s="904"/>
      <c r="S1183" s="904"/>
      <c r="T1183" s="904"/>
      <c r="U1183" s="904"/>
      <c r="V1183" s="904"/>
      <c r="W1183" s="904"/>
      <c r="X1183" s="904"/>
      <c r="Y1183" s="904"/>
    </row>
    <row r="1184" spans="1:25" x14ac:dyDescent="0.2">
      <c r="A1184" s="903"/>
      <c r="B1184" s="903"/>
      <c r="C1184" s="903"/>
      <c r="D1184" s="903"/>
      <c r="E1184" s="903"/>
      <c r="R1184" s="904"/>
      <c r="S1184" s="904"/>
      <c r="T1184" s="904"/>
      <c r="U1184" s="904"/>
      <c r="V1184" s="904"/>
      <c r="W1184" s="904"/>
      <c r="X1184" s="904"/>
      <c r="Y1184" s="904"/>
    </row>
    <row r="1185" spans="1:25" x14ac:dyDescent="0.2">
      <c r="A1185" s="903"/>
      <c r="B1185" s="903"/>
      <c r="C1185" s="903"/>
      <c r="D1185" s="903"/>
      <c r="E1185" s="903"/>
      <c r="R1185" s="904"/>
      <c r="S1185" s="904"/>
      <c r="T1185" s="904"/>
      <c r="U1185" s="904"/>
      <c r="V1185" s="904"/>
      <c r="W1185" s="904"/>
      <c r="X1185" s="904"/>
      <c r="Y1185" s="904"/>
    </row>
    <row r="1186" spans="1:25" x14ac:dyDescent="0.2">
      <c r="A1186" s="903"/>
      <c r="B1186" s="903"/>
      <c r="C1186" s="903"/>
      <c r="D1186" s="903"/>
      <c r="E1186" s="903"/>
      <c r="R1186" s="904"/>
      <c r="S1186" s="904"/>
      <c r="T1186" s="904"/>
      <c r="U1186" s="904"/>
      <c r="V1186" s="904"/>
      <c r="W1186" s="904"/>
      <c r="X1186" s="904"/>
      <c r="Y1186" s="904"/>
    </row>
    <row r="1187" spans="1:25" x14ac:dyDescent="0.2">
      <c r="A1187" s="903"/>
      <c r="B1187" s="903"/>
      <c r="C1187" s="903"/>
      <c r="D1187" s="903"/>
      <c r="E1187" s="903"/>
      <c r="R1187" s="904"/>
      <c r="S1187" s="904"/>
      <c r="T1187" s="904"/>
      <c r="U1187" s="904"/>
      <c r="V1187" s="904"/>
      <c r="W1187" s="904"/>
      <c r="X1187" s="904"/>
      <c r="Y1187" s="904"/>
    </row>
    <row r="1188" spans="1:25" x14ac:dyDescent="0.2">
      <c r="A1188" s="903"/>
      <c r="B1188" s="903"/>
      <c r="C1188" s="903"/>
      <c r="D1188" s="903"/>
      <c r="E1188" s="903"/>
      <c r="R1188" s="904"/>
      <c r="S1188" s="904"/>
      <c r="T1188" s="904"/>
      <c r="U1188" s="904"/>
      <c r="V1188" s="904"/>
      <c r="W1188" s="904"/>
      <c r="X1188" s="904"/>
      <c r="Y1188" s="904"/>
    </row>
    <row r="1189" spans="1:25" x14ac:dyDescent="0.2">
      <c r="A1189" s="903"/>
      <c r="B1189" s="903"/>
      <c r="C1189" s="903"/>
      <c r="D1189" s="903"/>
      <c r="E1189" s="903"/>
      <c r="R1189" s="904"/>
      <c r="S1189" s="904"/>
      <c r="T1189" s="904"/>
      <c r="U1189" s="904"/>
      <c r="V1189" s="904"/>
      <c r="W1189" s="904"/>
      <c r="X1189" s="904"/>
      <c r="Y1189" s="904"/>
    </row>
    <row r="1190" spans="1:25" x14ac:dyDescent="0.2">
      <c r="A1190" s="903"/>
      <c r="B1190" s="903"/>
      <c r="C1190" s="903"/>
      <c r="D1190" s="903"/>
      <c r="E1190" s="903"/>
      <c r="R1190" s="904"/>
      <c r="S1190" s="904"/>
      <c r="T1190" s="904"/>
      <c r="U1190" s="904"/>
      <c r="V1190" s="904"/>
      <c r="W1190" s="904"/>
      <c r="X1190" s="904"/>
      <c r="Y1190" s="904"/>
    </row>
    <row r="1191" spans="1:25" x14ac:dyDescent="0.2">
      <c r="A1191" s="903"/>
      <c r="B1191" s="903"/>
      <c r="C1191" s="903"/>
      <c r="D1191" s="903"/>
      <c r="E1191" s="903"/>
      <c r="R1191" s="904"/>
      <c r="S1191" s="904"/>
      <c r="T1191" s="904"/>
      <c r="U1191" s="904"/>
      <c r="V1191" s="904"/>
      <c r="W1191" s="904"/>
      <c r="X1191" s="904"/>
      <c r="Y1191" s="904"/>
    </row>
    <row r="1192" spans="1:25" x14ac:dyDescent="0.2">
      <c r="A1192" s="903"/>
      <c r="B1192" s="903"/>
      <c r="C1192" s="903"/>
      <c r="D1192" s="903"/>
      <c r="E1192" s="903"/>
      <c r="R1192" s="904"/>
      <c r="S1192" s="904"/>
      <c r="T1192" s="904"/>
      <c r="U1192" s="904"/>
      <c r="V1192" s="904"/>
      <c r="W1192" s="904"/>
      <c r="X1192" s="904"/>
      <c r="Y1192" s="904"/>
    </row>
    <row r="1193" spans="1:25" x14ac:dyDescent="0.2">
      <c r="A1193" s="903"/>
      <c r="B1193" s="903"/>
      <c r="C1193" s="903"/>
      <c r="D1193" s="903"/>
      <c r="E1193" s="903"/>
      <c r="R1193" s="904"/>
      <c r="S1193" s="904"/>
      <c r="T1193" s="904"/>
      <c r="U1193" s="904"/>
      <c r="V1193" s="904"/>
      <c r="W1193" s="904"/>
      <c r="X1193" s="904"/>
      <c r="Y1193" s="904"/>
    </row>
    <row r="1194" spans="1:25" x14ac:dyDescent="0.2">
      <c r="A1194" s="903"/>
      <c r="B1194" s="903"/>
      <c r="C1194" s="903"/>
      <c r="D1194" s="903"/>
      <c r="E1194" s="903"/>
      <c r="R1194" s="904"/>
      <c r="S1194" s="904"/>
      <c r="T1194" s="904"/>
      <c r="U1194" s="904"/>
      <c r="V1194" s="904"/>
      <c r="W1194" s="904"/>
      <c r="X1194" s="904"/>
      <c r="Y1194" s="904"/>
    </row>
    <row r="1195" spans="1:25" x14ac:dyDescent="0.2">
      <c r="A1195" s="903"/>
      <c r="B1195" s="903"/>
      <c r="C1195" s="903"/>
      <c r="D1195" s="903"/>
      <c r="E1195" s="903"/>
      <c r="R1195" s="904"/>
      <c r="S1195" s="904"/>
      <c r="T1195" s="904"/>
      <c r="U1195" s="904"/>
      <c r="V1195" s="904"/>
      <c r="W1195" s="904"/>
      <c r="X1195" s="904"/>
      <c r="Y1195" s="904"/>
    </row>
    <row r="1196" spans="1:25" x14ac:dyDescent="0.2">
      <c r="A1196" s="903"/>
      <c r="B1196" s="903"/>
      <c r="C1196" s="903"/>
      <c r="D1196" s="903"/>
      <c r="E1196" s="903"/>
      <c r="R1196" s="904"/>
      <c r="S1196" s="904"/>
      <c r="T1196" s="904"/>
      <c r="U1196" s="904"/>
      <c r="V1196" s="904"/>
      <c r="W1196" s="904"/>
      <c r="X1196" s="904"/>
      <c r="Y1196" s="904"/>
    </row>
    <row r="1197" spans="1:25" x14ac:dyDescent="0.2">
      <c r="A1197" s="903"/>
      <c r="B1197" s="903"/>
      <c r="C1197" s="903"/>
      <c r="D1197" s="903"/>
      <c r="E1197" s="903"/>
      <c r="R1197" s="904"/>
      <c r="S1197" s="904"/>
      <c r="T1197" s="904"/>
      <c r="U1197" s="904"/>
      <c r="V1197" s="904"/>
      <c r="W1197" s="904"/>
      <c r="X1197" s="904"/>
      <c r="Y1197" s="904"/>
    </row>
    <row r="1198" spans="1:25" x14ac:dyDescent="0.2">
      <c r="A1198" s="903"/>
      <c r="B1198" s="903"/>
      <c r="C1198" s="903"/>
      <c r="D1198" s="903"/>
      <c r="E1198" s="903"/>
      <c r="R1198" s="904"/>
      <c r="S1198" s="904"/>
      <c r="T1198" s="904"/>
      <c r="U1198" s="904"/>
      <c r="V1198" s="904"/>
      <c r="W1198" s="904"/>
      <c r="X1198" s="904"/>
      <c r="Y1198" s="904"/>
    </row>
    <row r="1199" spans="1:25" x14ac:dyDescent="0.2">
      <c r="A1199" s="903"/>
      <c r="B1199" s="903"/>
      <c r="C1199" s="903"/>
      <c r="D1199" s="903"/>
      <c r="E1199" s="903"/>
      <c r="R1199" s="904"/>
      <c r="S1199" s="904"/>
      <c r="T1199" s="904"/>
      <c r="U1199" s="904"/>
      <c r="V1199" s="904"/>
      <c r="W1199" s="904"/>
      <c r="X1199" s="904"/>
      <c r="Y1199" s="904"/>
    </row>
    <row r="1200" spans="1:25" x14ac:dyDescent="0.2">
      <c r="A1200" s="903"/>
      <c r="B1200" s="903"/>
      <c r="C1200" s="903"/>
      <c r="D1200" s="903"/>
      <c r="E1200" s="903"/>
      <c r="R1200" s="904"/>
      <c r="S1200" s="904"/>
      <c r="T1200" s="904"/>
      <c r="U1200" s="904"/>
      <c r="V1200" s="904"/>
      <c r="W1200" s="904"/>
      <c r="X1200" s="904"/>
      <c r="Y1200" s="904"/>
    </row>
    <row r="1201" spans="1:25" x14ac:dyDescent="0.2">
      <c r="A1201" s="903"/>
      <c r="B1201" s="903"/>
      <c r="C1201" s="903"/>
      <c r="D1201" s="903"/>
      <c r="E1201" s="903"/>
      <c r="R1201" s="904"/>
      <c r="S1201" s="904"/>
      <c r="T1201" s="904"/>
      <c r="U1201" s="904"/>
      <c r="V1201" s="904"/>
      <c r="W1201" s="904"/>
      <c r="X1201" s="904"/>
      <c r="Y1201" s="904"/>
    </row>
    <row r="1202" spans="1:25" x14ac:dyDescent="0.2">
      <c r="A1202" s="903"/>
      <c r="B1202" s="903"/>
      <c r="C1202" s="903"/>
      <c r="D1202" s="903"/>
      <c r="E1202" s="903"/>
      <c r="R1202" s="904"/>
      <c r="S1202" s="904"/>
      <c r="T1202" s="904"/>
      <c r="U1202" s="904"/>
      <c r="V1202" s="904"/>
      <c r="W1202" s="904"/>
      <c r="X1202" s="904"/>
      <c r="Y1202" s="904"/>
    </row>
    <row r="1203" spans="1:25" x14ac:dyDescent="0.2">
      <c r="A1203" s="903"/>
      <c r="B1203" s="903"/>
      <c r="C1203" s="903"/>
      <c r="D1203" s="903"/>
      <c r="E1203" s="903"/>
      <c r="R1203" s="904"/>
      <c r="S1203" s="904"/>
      <c r="T1203" s="904"/>
      <c r="U1203" s="904"/>
      <c r="V1203" s="904"/>
      <c r="W1203" s="904"/>
      <c r="X1203" s="904"/>
      <c r="Y1203" s="904"/>
    </row>
    <row r="1204" spans="1:25" x14ac:dyDescent="0.2">
      <c r="A1204" s="903"/>
      <c r="B1204" s="903"/>
      <c r="C1204" s="903"/>
      <c r="D1204" s="903"/>
      <c r="E1204" s="903"/>
      <c r="R1204" s="904"/>
      <c r="S1204" s="904"/>
      <c r="T1204" s="904"/>
      <c r="U1204" s="904"/>
      <c r="V1204" s="904"/>
      <c r="W1204" s="904"/>
      <c r="X1204" s="904"/>
      <c r="Y1204" s="904"/>
    </row>
    <row r="1205" spans="1:25" x14ac:dyDescent="0.2">
      <c r="A1205" s="903"/>
      <c r="B1205" s="903"/>
      <c r="C1205" s="903"/>
      <c r="D1205" s="903"/>
      <c r="E1205" s="903"/>
      <c r="R1205" s="904"/>
      <c r="S1205" s="904"/>
      <c r="T1205" s="904"/>
      <c r="U1205" s="904"/>
      <c r="V1205" s="904"/>
      <c r="W1205" s="904"/>
      <c r="X1205" s="904"/>
      <c r="Y1205" s="904"/>
    </row>
    <row r="1206" spans="1:25" x14ac:dyDescent="0.2">
      <c r="A1206" s="903"/>
      <c r="B1206" s="903"/>
      <c r="C1206" s="903"/>
      <c r="D1206" s="903"/>
      <c r="E1206" s="903"/>
      <c r="R1206" s="904"/>
      <c r="S1206" s="904"/>
      <c r="T1206" s="904"/>
      <c r="U1206" s="904"/>
      <c r="V1206" s="904"/>
      <c r="W1206" s="904"/>
      <c r="X1206" s="904"/>
      <c r="Y1206" s="904"/>
    </row>
    <row r="1207" spans="1:25" x14ac:dyDescent="0.2">
      <c r="A1207" s="903"/>
      <c r="B1207" s="903"/>
      <c r="C1207" s="903"/>
      <c r="D1207" s="903"/>
      <c r="E1207" s="903"/>
      <c r="R1207" s="904"/>
      <c r="S1207" s="904"/>
      <c r="T1207" s="904"/>
      <c r="U1207" s="904"/>
      <c r="V1207" s="904"/>
      <c r="W1207" s="904"/>
      <c r="X1207" s="904"/>
      <c r="Y1207" s="904"/>
    </row>
    <row r="1208" spans="1:25" x14ac:dyDescent="0.2">
      <c r="A1208" s="903"/>
      <c r="B1208" s="903"/>
      <c r="C1208" s="903"/>
      <c r="D1208" s="903"/>
      <c r="E1208" s="903"/>
      <c r="R1208" s="904"/>
      <c r="S1208" s="904"/>
      <c r="T1208" s="904"/>
      <c r="U1208" s="904"/>
      <c r="V1208" s="904"/>
      <c r="W1208" s="904"/>
      <c r="X1208" s="904"/>
      <c r="Y1208" s="904"/>
    </row>
    <row r="1209" spans="1:25" x14ac:dyDescent="0.2">
      <c r="A1209" s="903"/>
      <c r="B1209" s="903"/>
      <c r="C1209" s="903"/>
      <c r="D1209" s="903"/>
      <c r="E1209" s="903"/>
      <c r="R1209" s="904"/>
      <c r="S1209" s="904"/>
      <c r="T1209" s="904"/>
      <c r="U1209" s="904"/>
      <c r="V1209" s="904"/>
      <c r="W1209" s="904"/>
      <c r="X1209" s="904"/>
      <c r="Y1209" s="904"/>
    </row>
    <row r="1210" spans="1:25" x14ac:dyDescent="0.2">
      <c r="A1210" s="903"/>
      <c r="B1210" s="903"/>
      <c r="C1210" s="903"/>
      <c r="D1210" s="903"/>
      <c r="E1210" s="903"/>
      <c r="R1210" s="904"/>
      <c r="S1210" s="904"/>
      <c r="T1210" s="904"/>
      <c r="U1210" s="904"/>
      <c r="V1210" s="904"/>
      <c r="W1210" s="904"/>
      <c r="X1210" s="904"/>
      <c r="Y1210" s="904"/>
    </row>
    <row r="1211" spans="1:25" x14ac:dyDescent="0.2">
      <c r="A1211" s="903"/>
      <c r="B1211" s="903"/>
      <c r="C1211" s="903"/>
      <c r="D1211" s="903"/>
      <c r="E1211" s="903"/>
      <c r="R1211" s="904"/>
      <c r="S1211" s="904"/>
      <c r="T1211" s="904"/>
      <c r="U1211" s="904"/>
      <c r="V1211" s="904"/>
      <c r="W1211" s="904"/>
      <c r="X1211" s="904"/>
      <c r="Y1211" s="904"/>
    </row>
    <row r="1212" spans="1:25" x14ac:dyDescent="0.2">
      <c r="A1212" s="903"/>
      <c r="B1212" s="903"/>
      <c r="C1212" s="903"/>
      <c r="D1212" s="903"/>
      <c r="E1212" s="903"/>
      <c r="R1212" s="904"/>
      <c r="S1212" s="904"/>
      <c r="T1212" s="904"/>
      <c r="U1212" s="904"/>
      <c r="V1212" s="904"/>
      <c r="W1212" s="904"/>
      <c r="X1212" s="904"/>
      <c r="Y1212" s="904"/>
    </row>
    <row r="1213" spans="1:25" x14ac:dyDescent="0.2">
      <c r="A1213" s="903"/>
      <c r="B1213" s="903"/>
      <c r="C1213" s="903"/>
      <c r="D1213" s="903"/>
      <c r="E1213" s="903"/>
      <c r="R1213" s="904"/>
      <c r="S1213" s="904"/>
      <c r="T1213" s="904"/>
      <c r="U1213" s="904"/>
      <c r="V1213" s="904"/>
      <c r="W1213" s="904"/>
      <c r="X1213" s="904"/>
      <c r="Y1213" s="904"/>
    </row>
    <row r="1214" spans="1:25" x14ac:dyDescent="0.2">
      <c r="A1214" s="903"/>
      <c r="B1214" s="903"/>
      <c r="C1214" s="903"/>
      <c r="D1214" s="903"/>
      <c r="E1214" s="903"/>
      <c r="R1214" s="904"/>
      <c r="S1214" s="904"/>
      <c r="T1214" s="904"/>
      <c r="U1214" s="904"/>
      <c r="V1214" s="904"/>
      <c r="W1214" s="904"/>
      <c r="X1214" s="904"/>
      <c r="Y1214" s="904"/>
    </row>
    <row r="1215" spans="1:25" x14ac:dyDescent="0.2">
      <c r="A1215" s="903"/>
      <c r="B1215" s="903"/>
      <c r="C1215" s="903"/>
      <c r="D1215" s="903"/>
      <c r="E1215" s="903"/>
      <c r="R1215" s="904"/>
      <c r="S1215" s="904"/>
      <c r="T1215" s="904"/>
      <c r="U1215" s="904"/>
      <c r="V1215" s="904"/>
      <c r="W1215" s="904"/>
      <c r="X1215" s="904"/>
      <c r="Y1215" s="904"/>
    </row>
    <row r="1216" spans="1:25" x14ac:dyDescent="0.2">
      <c r="A1216" s="903"/>
      <c r="B1216" s="903"/>
      <c r="C1216" s="903"/>
      <c r="D1216" s="903"/>
      <c r="E1216" s="903"/>
      <c r="R1216" s="904"/>
      <c r="S1216" s="904"/>
      <c r="T1216" s="904"/>
      <c r="U1216" s="904"/>
      <c r="V1216" s="904"/>
      <c r="W1216" s="904"/>
      <c r="X1216" s="904"/>
      <c r="Y1216" s="904"/>
    </row>
    <row r="1217" spans="1:25" x14ac:dyDescent="0.2">
      <c r="A1217" s="903"/>
      <c r="B1217" s="903"/>
      <c r="C1217" s="903"/>
      <c r="D1217" s="903"/>
      <c r="E1217" s="903"/>
      <c r="R1217" s="904"/>
      <c r="S1217" s="904"/>
      <c r="T1217" s="904"/>
      <c r="U1217" s="904"/>
      <c r="V1217" s="904"/>
      <c r="W1217" s="904"/>
      <c r="X1217" s="904"/>
      <c r="Y1217" s="904"/>
    </row>
    <row r="1218" spans="1:25" x14ac:dyDescent="0.2">
      <c r="A1218" s="903"/>
      <c r="B1218" s="903"/>
      <c r="C1218" s="903"/>
      <c r="D1218" s="903"/>
      <c r="E1218" s="903"/>
      <c r="R1218" s="904"/>
      <c r="S1218" s="904"/>
      <c r="T1218" s="904"/>
      <c r="U1218" s="904"/>
      <c r="V1218" s="904"/>
      <c r="W1218" s="904"/>
      <c r="X1218" s="904"/>
      <c r="Y1218" s="904"/>
    </row>
    <row r="1219" spans="1:25" x14ac:dyDescent="0.2">
      <c r="A1219" s="903"/>
      <c r="B1219" s="903"/>
      <c r="C1219" s="903"/>
      <c r="D1219" s="903"/>
      <c r="E1219" s="903"/>
      <c r="R1219" s="904"/>
      <c r="S1219" s="904"/>
      <c r="T1219" s="904"/>
      <c r="U1219" s="904"/>
      <c r="V1219" s="904"/>
      <c r="W1219" s="904"/>
      <c r="X1219" s="904"/>
      <c r="Y1219" s="904"/>
    </row>
    <row r="1220" spans="1:25" x14ac:dyDescent="0.2">
      <c r="A1220" s="903"/>
      <c r="B1220" s="903"/>
      <c r="C1220" s="903"/>
      <c r="D1220" s="903"/>
      <c r="E1220" s="903"/>
      <c r="R1220" s="904"/>
      <c r="S1220" s="904"/>
      <c r="T1220" s="904"/>
      <c r="U1220" s="904"/>
      <c r="V1220" s="904"/>
      <c r="W1220" s="904"/>
      <c r="X1220" s="904"/>
      <c r="Y1220" s="904"/>
    </row>
    <row r="1221" spans="1:25" x14ac:dyDescent="0.2">
      <c r="A1221" s="903"/>
      <c r="B1221" s="903"/>
      <c r="C1221" s="903"/>
      <c r="D1221" s="903"/>
      <c r="E1221" s="903"/>
      <c r="R1221" s="904"/>
      <c r="S1221" s="904"/>
      <c r="T1221" s="904"/>
      <c r="U1221" s="904"/>
      <c r="V1221" s="904"/>
      <c r="W1221" s="904"/>
      <c r="X1221" s="904"/>
      <c r="Y1221" s="904"/>
    </row>
    <row r="1222" spans="1:25" x14ac:dyDescent="0.2">
      <c r="A1222" s="903"/>
      <c r="B1222" s="903"/>
      <c r="C1222" s="903"/>
      <c r="D1222" s="903"/>
      <c r="E1222" s="903"/>
      <c r="R1222" s="904"/>
      <c r="S1222" s="904"/>
      <c r="T1222" s="904"/>
      <c r="U1222" s="904"/>
      <c r="V1222" s="904"/>
      <c r="W1222" s="904"/>
      <c r="X1222" s="904"/>
      <c r="Y1222" s="904"/>
    </row>
    <row r="1223" spans="1:25" x14ac:dyDescent="0.2">
      <c r="A1223" s="903"/>
      <c r="B1223" s="903"/>
      <c r="C1223" s="903"/>
      <c r="D1223" s="903"/>
      <c r="E1223" s="903"/>
      <c r="R1223" s="904"/>
      <c r="S1223" s="904"/>
      <c r="T1223" s="904"/>
      <c r="U1223" s="904"/>
      <c r="V1223" s="904"/>
      <c r="W1223" s="904"/>
      <c r="X1223" s="904"/>
      <c r="Y1223" s="904"/>
    </row>
    <row r="1224" spans="1:25" x14ac:dyDescent="0.2">
      <c r="A1224" s="903"/>
      <c r="B1224" s="903"/>
      <c r="C1224" s="903"/>
      <c r="D1224" s="903"/>
      <c r="E1224" s="903"/>
      <c r="R1224" s="904"/>
      <c r="S1224" s="904"/>
      <c r="T1224" s="904"/>
      <c r="U1224" s="904"/>
      <c r="V1224" s="904"/>
      <c r="W1224" s="904"/>
      <c r="X1224" s="904"/>
      <c r="Y1224" s="904"/>
    </row>
    <row r="1225" spans="1:25" x14ac:dyDescent="0.2">
      <c r="A1225" s="903"/>
      <c r="B1225" s="903"/>
      <c r="C1225" s="903"/>
      <c r="D1225" s="903"/>
      <c r="E1225" s="903"/>
      <c r="R1225" s="904"/>
      <c r="S1225" s="904"/>
      <c r="T1225" s="904"/>
      <c r="U1225" s="904"/>
      <c r="V1225" s="904"/>
      <c r="W1225" s="904"/>
      <c r="X1225" s="904"/>
      <c r="Y1225" s="904"/>
    </row>
    <row r="1226" spans="1:25" x14ac:dyDescent="0.2">
      <c r="A1226" s="903"/>
      <c r="B1226" s="903"/>
      <c r="C1226" s="903"/>
      <c r="D1226" s="903"/>
      <c r="E1226" s="903"/>
      <c r="R1226" s="904"/>
      <c r="S1226" s="904"/>
      <c r="T1226" s="904"/>
      <c r="U1226" s="904"/>
      <c r="V1226" s="904"/>
      <c r="W1226" s="904"/>
      <c r="X1226" s="904"/>
      <c r="Y1226" s="904"/>
    </row>
    <row r="1227" spans="1:25" x14ac:dyDescent="0.2">
      <c r="A1227" s="903"/>
      <c r="B1227" s="903"/>
      <c r="C1227" s="903"/>
      <c r="D1227" s="903"/>
      <c r="E1227" s="903"/>
      <c r="R1227" s="904"/>
      <c r="S1227" s="904"/>
      <c r="T1227" s="904"/>
      <c r="U1227" s="904"/>
      <c r="V1227" s="904"/>
      <c r="W1227" s="904"/>
      <c r="X1227" s="904"/>
      <c r="Y1227" s="904"/>
    </row>
    <row r="1228" spans="1:25" x14ac:dyDescent="0.2">
      <c r="A1228" s="903"/>
      <c r="B1228" s="903"/>
      <c r="C1228" s="903"/>
      <c r="D1228" s="903"/>
      <c r="E1228" s="903"/>
      <c r="R1228" s="904"/>
      <c r="S1228" s="904"/>
      <c r="T1228" s="904"/>
      <c r="U1228" s="904"/>
      <c r="V1228" s="904"/>
      <c r="W1228" s="904"/>
      <c r="X1228" s="904"/>
      <c r="Y1228" s="904"/>
    </row>
    <row r="1229" spans="1:25" x14ac:dyDescent="0.2">
      <c r="A1229" s="903"/>
      <c r="B1229" s="903"/>
      <c r="C1229" s="903"/>
      <c r="D1229" s="903"/>
      <c r="E1229" s="903"/>
      <c r="R1229" s="904"/>
      <c r="S1229" s="904"/>
      <c r="T1229" s="904"/>
      <c r="U1229" s="904"/>
      <c r="V1229" s="904"/>
      <c r="W1229" s="904"/>
      <c r="X1229" s="904"/>
      <c r="Y1229" s="904"/>
    </row>
    <row r="1230" spans="1:25" x14ac:dyDescent="0.2">
      <c r="A1230" s="903"/>
      <c r="B1230" s="903"/>
      <c r="C1230" s="903"/>
      <c r="D1230" s="903"/>
      <c r="E1230" s="903"/>
      <c r="R1230" s="904"/>
      <c r="S1230" s="904"/>
      <c r="T1230" s="904"/>
      <c r="U1230" s="904"/>
      <c r="V1230" s="904"/>
      <c r="W1230" s="904"/>
      <c r="X1230" s="904"/>
      <c r="Y1230" s="904"/>
    </row>
    <row r="1231" spans="1:25" x14ac:dyDescent="0.2">
      <c r="A1231" s="903"/>
      <c r="B1231" s="903"/>
      <c r="C1231" s="903"/>
      <c r="D1231" s="903"/>
      <c r="E1231" s="903"/>
      <c r="R1231" s="904"/>
      <c r="S1231" s="904"/>
      <c r="T1231" s="904"/>
      <c r="U1231" s="904"/>
      <c r="V1231" s="904"/>
      <c r="W1231" s="904"/>
      <c r="X1231" s="904"/>
      <c r="Y1231" s="904"/>
    </row>
    <row r="1232" spans="1:25" x14ac:dyDescent="0.2">
      <c r="A1232" s="903"/>
      <c r="B1232" s="903"/>
      <c r="C1232" s="903"/>
      <c r="D1232" s="903"/>
      <c r="E1232" s="903"/>
      <c r="R1232" s="904"/>
      <c r="S1232" s="904"/>
      <c r="T1232" s="904"/>
      <c r="U1232" s="904"/>
      <c r="V1232" s="904"/>
      <c r="W1232" s="904"/>
      <c r="X1232" s="904"/>
      <c r="Y1232" s="904"/>
    </row>
    <row r="1233" spans="1:25" x14ac:dyDescent="0.2">
      <c r="A1233" s="903"/>
      <c r="B1233" s="903"/>
      <c r="C1233" s="903"/>
      <c r="D1233" s="903"/>
      <c r="E1233" s="903"/>
      <c r="R1233" s="904"/>
      <c r="S1233" s="904"/>
      <c r="T1233" s="904"/>
      <c r="U1233" s="904"/>
      <c r="V1233" s="904"/>
      <c r="W1233" s="904"/>
      <c r="X1233" s="904"/>
      <c r="Y1233" s="904"/>
    </row>
    <row r="1234" spans="1:25" x14ac:dyDescent="0.2">
      <c r="A1234" s="903"/>
      <c r="B1234" s="903"/>
      <c r="C1234" s="903"/>
      <c r="D1234" s="903"/>
      <c r="E1234" s="903"/>
      <c r="R1234" s="904"/>
      <c r="S1234" s="904"/>
      <c r="T1234" s="904"/>
      <c r="U1234" s="904"/>
      <c r="V1234" s="904"/>
      <c r="W1234" s="904"/>
      <c r="X1234" s="904"/>
      <c r="Y1234" s="904"/>
    </row>
    <row r="1235" spans="1:25" x14ac:dyDescent="0.2">
      <c r="A1235" s="903"/>
      <c r="B1235" s="903"/>
      <c r="C1235" s="903"/>
      <c r="D1235" s="903"/>
      <c r="E1235" s="903"/>
      <c r="R1235" s="904"/>
      <c r="S1235" s="904"/>
      <c r="T1235" s="904"/>
      <c r="U1235" s="904"/>
      <c r="V1235" s="904"/>
      <c r="W1235" s="904"/>
      <c r="X1235" s="904"/>
      <c r="Y1235" s="904"/>
    </row>
    <row r="1236" spans="1:25" x14ac:dyDescent="0.2">
      <c r="A1236" s="903"/>
      <c r="B1236" s="903"/>
      <c r="C1236" s="903"/>
      <c r="D1236" s="903"/>
      <c r="E1236" s="903"/>
      <c r="R1236" s="904"/>
      <c r="S1236" s="904"/>
      <c r="T1236" s="904"/>
      <c r="U1236" s="904"/>
      <c r="V1236" s="904"/>
      <c r="W1236" s="904"/>
      <c r="X1236" s="904"/>
      <c r="Y1236" s="904"/>
    </row>
    <row r="1237" spans="1:25" x14ac:dyDescent="0.2">
      <c r="A1237" s="903"/>
      <c r="B1237" s="903"/>
      <c r="C1237" s="903"/>
      <c r="D1237" s="903"/>
      <c r="E1237" s="903"/>
      <c r="R1237" s="904"/>
      <c r="S1237" s="904"/>
      <c r="T1237" s="904"/>
      <c r="U1237" s="904"/>
      <c r="V1237" s="904"/>
      <c r="W1237" s="904"/>
      <c r="X1237" s="904"/>
      <c r="Y1237" s="904"/>
    </row>
    <row r="1238" spans="1:25" x14ac:dyDescent="0.2">
      <c r="A1238" s="903"/>
      <c r="B1238" s="903"/>
      <c r="C1238" s="903"/>
      <c r="D1238" s="903"/>
      <c r="E1238" s="903"/>
      <c r="R1238" s="904"/>
      <c r="S1238" s="904"/>
      <c r="T1238" s="904"/>
      <c r="U1238" s="904"/>
      <c r="V1238" s="904"/>
      <c r="W1238" s="904"/>
      <c r="X1238" s="904"/>
      <c r="Y1238" s="904"/>
    </row>
    <row r="1239" spans="1:25" x14ac:dyDescent="0.2">
      <c r="A1239" s="903"/>
      <c r="B1239" s="903"/>
      <c r="C1239" s="903"/>
      <c r="D1239" s="903"/>
      <c r="E1239" s="903"/>
      <c r="R1239" s="904"/>
      <c r="S1239" s="904"/>
      <c r="T1239" s="904"/>
      <c r="U1239" s="904"/>
      <c r="V1239" s="904"/>
      <c r="W1239" s="904"/>
      <c r="X1239" s="904"/>
      <c r="Y1239" s="904"/>
    </row>
    <row r="1240" spans="1:25" x14ac:dyDescent="0.2">
      <c r="A1240" s="903"/>
      <c r="B1240" s="903"/>
      <c r="C1240" s="903"/>
      <c r="D1240" s="903"/>
      <c r="E1240" s="903"/>
      <c r="R1240" s="904"/>
      <c r="S1240" s="904"/>
      <c r="T1240" s="904"/>
      <c r="U1240" s="904"/>
      <c r="V1240" s="904"/>
      <c r="W1240" s="904"/>
      <c r="X1240" s="904"/>
      <c r="Y1240" s="904"/>
    </row>
    <row r="1241" spans="1:25" x14ac:dyDescent="0.2">
      <c r="A1241" s="903"/>
      <c r="B1241" s="903"/>
      <c r="C1241" s="903"/>
      <c r="D1241" s="903"/>
      <c r="E1241" s="903"/>
      <c r="R1241" s="904"/>
      <c r="S1241" s="904"/>
      <c r="T1241" s="904"/>
      <c r="U1241" s="904"/>
      <c r="V1241" s="904"/>
      <c r="W1241" s="904"/>
      <c r="X1241" s="904"/>
      <c r="Y1241" s="904"/>
    </row>
    <row r="1242" spans="1:25" x14ac:dyDescent="0.2">
      <c r="A1242" s="903"/>
      <c r="B1242" s="903"/>
      <c r="C1242" s="903"/>
      <c r="D1242" s="903"/>
      <c r="E1242" s="903"/>
      <c r="R1242" s="904"/>
      <c r="S1242" s="904"/>
      <c r="T1242" s="904"/>
      <c r="U1242" s="904"/>
      <c r="V1242" s="904"/>
      <c r="W1242" s="904"/>
      <c r="X1242" s="904"/>
      <c r="Y1242" s="904"/>
    </row>
    <row r="1243" spans="1:25" x14ac:dyDescent="0.2">
      <c r="A1243" s="903"/>
      <c r="B1243" s="903"/>
      <c r="C1243" s="903"/>
      <c r="D1243" s="903"/>
      <c r="E1243" s="903"/>
      <c r="R1243" s="904"/>
      <c r="S1243" s="904"/>
      <c r="T1243" s="904"/>
      <c r="U1243" s="904"/>
      <c r="V1243" s="904"/>
      <c r="W1243" s="904"/>
      <c r="X1243" s="904"/>
      <c r="Y1243" s="904"/>
    </row>
    <row r="1244" spans="1:25" x14ac:dyDescent="0.2">
      <c r="A1244" s="903"/>
      <c r="B1244" s="903"/>
      <c r="C1244" s="903"/>
      <c r="D1244" s="903"/>
      <c r="E1244" s="903"/>
      <c r="R1244" s="904"/>
      <c r="S1244" s="904"/>
      <c r="T1244" s="904"/>
      <c r="U1244" s="904"/>
      <c r="V1244" s="904"/>
      <c r="W1244" s="904"/>
      <c r="X1244" s="904"/>
      <c r="Y1244" s="904"/>
    </row>
    <row r="1245" spans="1:25" x14ac:dyDescent="0.2">
      <c r="A1245" s="903"/>
      <c r="B1245" s="903"/>
      <c r="C1245" s="903"/>
      <c r="D1245" s="903"/>
      <c r="E1245" s="903"/>
      <c r="R1245" s="904"/>
      <c r="S1245" s="904"/>
      <c r="T1245" s="904"/>
      <c r="U1245" s="904"/>
      <c r="V1245" s="904"/>
      <c r="W1245" s="904"/>
      <c r="X1245" s="904"/>
      <c r="Y1245" s="904"/>
    </row>
    <row r="1246" spans="1:25" x14ac:dyDescent="0.2">
      <c r="A1246" s="903"/>
      <c r="B1246" s="903"/>
      <c r="C1246" s="903"/>
      <c r="D1246" s="903"/>
      <c r="E1246" s="903"/>
      <c r="R1246" s="904"/>
      <c r="S1246" s="904"/>
      <c r="T1246" s="904"/>
      <c r="U1246" s="904"/>
      <c r="V1246" s="904"/>
      <c r="W1246" s="904"/>
      <c r="X1246" s="904"/>
      <c r="Y1246" s="904"/>
    </row>
    <row r="1247" spans="1:25" x14ac:dyDescent="0.2">
      <c r="A1247" s="903"/>
      <c r="B1247" s="903"/>
      <c r="C1247" s="903"/>
      <c r="D1247" s="903"/>
      <c r="E1247" s="903"/>
      <c r="R1247" s="904"/>
      <c r="S1247" s="904"/>
      <c r="T1247" s="904"/>
      <c r="U1247" s="904"/>
      <c r="V1247" s="904"/>
      <c r="W1247" s="904"/>
      <c r="X1247" s="904"/>
      <c r="Y1247" s="904"/>
    </row>
    <row r="1248" spans="1:25" x14ac:dyDescent="0.2">
      <c r="A1248" s="903"/>
      <c r="B1248" s="903"/>
      <c r="C1248" s="903"/>
      <c r="D1248" s="903"/>
      <c r="E1248" s="903"/>
      <c r="R1248" s="904"/>
      <c r="S1248" s="904"/>
      <c r="T1248" s="904"/>
      <c r="U1248" s="904"/>
      <c r="V1248" s="904"/>
      <c r="W1248" s="904"/>
      <c r="X1248" s="904"/>
      <c r="Y1248" s="904"/>
    </row>
    <row r="1249" spans="1:25" x14ac:dyDescent="0.2">
      <c r="A1249" s="903"/>
      <c r="B1249" s="903"/>
      <c r="C1249" s="903"/>
      <c r="D1249" s="903"/>
      <c r="E1249" s="903"/>
      <c r="R1249" s="904"/>
      <c r="S1249" s="904"/>
      <c r="T1249" s="904"/>
      <c r="U1249" s="904"/>
      <c r="V1249" s="904"/>
      <c r="W1249" s="904"/>
      <c r="X1249" s="904"/>
      <c r="Y1249" s="904"/>
    </row>
    <row r="1250" spans="1:25" x14ac:dyDescent="0.2">
      <c r="A1250" s="903"/>
      <c r="B1250" s="903"/>
      <c r="C1250" s="903"/>
      <c r="D1250" s="903"/>
      <c r="E1250" s="903"/>
      <c r="R1250" s="904"/>
      <c r="S1250" s="904"/>
      <c r="T1250" s="904"/>
      <c r="U1250" s="904"/>
      <c r="V1250" s="904"/>
      <c r="W1250" s="904"/>
      <c r="X1250" s="904"/>
      <c r="Y1250" s="904"/>
    </row>
    <row r="1251" spans="1:25" x14ac:dyDescent="0.2">
      <c r="A1251" s="903"/>
      <c r="B1251" s="903"/>
      <c r="C1251" s="903"/>
      <c r="D1251" s="903"/>
      <c r="E1251" s="903"/>
      <c r="R1251" s="904"/>
      <c r="S1251" s="904"/>
      <c r="T1251" s="904"/>
      <c r="U1251" s="904"/>
      <c r="V1251" s="904"/>
      <c r="W1251" s="904"/>
      <c r="X1251" s="904"/>
      <c r="Y1251" s="904"/>
    </row>
    <row r="1252" spans="1:25" x14ac:dyDescent="0.2">
      <c r="A1252" s="903"/>
      <c r="B1252" s="903"/>
      <c r="C1252" s="903"/>
      <c r="D1252" s="903"/>
      <c r="E1252" s="903"/>
      <c r="R1252" s="904"/>
      <c r="S1252" s="904"/>
      <c r="T1252" s="904"/>
      <c r="U1252" s="904"/>
      <c r="V1252" s="904"/>
      <c r="W1252" s="904"/>
      <c r="X1252" s="904"/>
      <c r="Y1252" s="904"/>
    </row>
    <row r="1253" spans="1:25" x14ac:dyDescent="0.2">
      <c r="A1253" s="903"/>
      <c r="B1253" s="903"/>
      <c r="C1253" s="903"/>
      <c r="D1253" s="903"/>
      <c r="E1253" s="903"/>
      <c r="R1253" s="904"/>
      <c r="S1253" s="904"/>
      <c r="T1253" s="904"/>
      <c r="U1253" s="904"/>
      <c r="V1253" s="904"/>
      <c r="W1253" s="904"/>
      <c r="X1253" s="904"/>
      <c r="Y1253" s="904"/>
    </row>
    <row r="1254" spans="1:25" x14ac:dyDescent="0.2">
      <c r="A1254" s="903"/>
      <c r="B1254" s="903"/>
      <c r="C1254" s="903"/>
      <c r="D1254" s="903"/>
      <c r="E1254" s="903"/>
      <c r="R1254" s="904"/>
      <c r="S1254" s="904"/>
      <c r="T1254" s="904"/>
      <c r="U1254" s="904"/>
      <c r="V1254" s="904"/>
      <c r="W1254" s="904"/>
      <c r="X1254" s="904"/>
      <c r="Y1254" s="904"/>
    </row>
    <row r="1255" spans="1:25" x14ac:dyDescent="0.2">
      <c r="A1255" s="903"/>
      <c r="B1255" s="903"/>
      <c r="C1255" s="903"/>
      <c r="D1255" s="903"/>
      <c r="E1255" s="903"/>
      <c r="R1255" s="904"/>
      <c r="S1255" s="904"/>
      <c r="T1255" s="904"/>
      <c r="U1255" s="904"/>
      <c r="V1255" s="904"/>
      <c r="W1255" s="904"/>
      <c r="X1255" s="904"/>
      <c r="Y1255" s="904"/>
    </row>
    <row r="1256" spans="1:25" x14ac:dyDescent="0.2">
      <c r="A1256" s="903"/>
      <c r="B1256" s="903"/>
      <c r="C1256" s="903"/>
      <c r="D1256" s="903"/>
      <c r="E1256" s="903"/>
      <c r="R1256" s="904"/>
      <c r="S1256" s="904"/>
      <c r="T1256" s="904"/>
      <c r="U1256" s="904"/>
      <c r="V1256" s="904"/>
      <c r="W1256" s="904"/>
      <c r="X1256" s="904"/>
      <c r="Y1256" s="904"/>
    </row>
    <row r="1257" spans="1:25" x14ac:dyDescent="0.2">
      <c r="A1257" s="903"/>
      <c r="B1257" s="903"/>
      <c r="C1257" s="903"/>
      <c r="D1257" s="903"/>
      <c r="E1257" s="903"/>
      <c r="R1257" s="904"/>
      <c r="S1257" s="904"/>
      <c r="T1257" s="904"/>
      <c r="U1257" s="904"/>
      <c r="V1257" s="904"/>
      <c r="W1257" s="904"/>
      <c r="X1257" s="904"/>
      <c r="Y1257" s="904"/>
    </row>
    <row r="1258" spans="1:25" x14ac:dyDescent="0.2">
      <c r="A1258" s="903"/>
      <c r="B1258" s="903"/>
      <c r="C1258" s="903"/>
      <c r="D1258" s="903"/>
      <c r="E1258" s="903"/>
      <c r="R1258" s="904"/>
      <c r="S1258" s="904"/>
      <c r="T1258" s="904"/>
      <c r="U1258" s="904"/>
      <c r="V1258" s="904"/>
      <c r="W1258" s="904"/>
      <c r="X1258" s="904"/>
      <c r="Y1258" s="904"/>
    </row>
    <row r="1259" spans="1:25" x14ac:dyDescent="0.2">
      <c r="A1259" s="903"/>
      <c r="B1259" s="903"/>
      <c r="C1259" s="903"/>
      <c r="D1259" s="903"/>
      <c r="E1259" s="903"/>
      <c r="R1259" s="904"/>
      <c r="S1259" s="904"/>
      <c r="T1259" s="904"/>
      <c r="U1259" s="904"/>
      <c r="V1259" s="904"/>
      <c r="W1259" s="904"/>
      <c r="X1259" s="904"/>
      <c r="Y1259" s="904"/>
    </row>
    <row r="1260" spans="1:25" x14ac:dyDescent="0.2">
      <c r="A1260" s="903"/>
      <c r="B1260" s="903"/>
      <c r="C1260" s="903"/>
      <c r="D1260" s="903"/>
      <c r="E1260" s="903"/>
      <c r="R1260" s="904"/>
      <c r="S1260" s="904"/>
      <c r="T1260" s="904"/>
      <c r="U1260" s="904"/>
      <c r="V1260" s="904"/>
      <c r="W1260" s="904"/>
      <c r="X1260" s="904"/>
      <c r="Y1260" s="904"/>
    </row>
    <row r="1261" spans="1:25" x14ac:dyDescent="0.2">
      <c r="A1261" s="903"/>
      <c r="B1261" s="903"/>
      <c r="C1261" s="903"/>
      <c r="D1261" s="903"/>
      <c r="E1261" s="903"/>
      <c r="R1261" s="904"/>
      <c r="S1261" s="904"/>
      <c r="T1261" s="904"/>
      <c r="U1261" s="904"/>
      <c r="V1261" s="904"/>
      <c r="W1261" s="904"/>
      <c r="X1261" s="904"/>
      <c r="Y1261" s="904"/>
    </row>
    <row r="1262" spans="1:25" x14ac:dyDescent="0.2">
      <c r="A1262" s="903"/>
      <c r="B1262" s="903"/>
      <c r="C1262" s="903"/>
      <c r="D1262" s="903"/>
      <c r="E1262" s="903"/>
      <c r="R1262" s="904"/>
      <c r="S1262" s="904"/>
      <c r="T1262" s="904"/>
      <c r="U1262" s="904"/>
      <c r="V1262" s="904"/>
      <c r="W1262" s="904"/>
      <c r="X1262" s="904"/>
      <c r="Y1262" s="904"/>
    </row>
    <row r="1263" spans="1:25" x14ac:dyDescent="0.2">
      <c r="A1263" s="903"/>
      <c r="B1263" s="903"/>
      <c r="C1263" s="903"/>
      <c r="D1263" s="903"/>
      <c r="E1263" s="903"/>
      <c r="R1263" s="904"/>
      <c r="S1263" s="904"/>
      <c r="T1263" s="904"/>
      <c r="U1263" s="904"/>
      <c r="V1263" s="904"/>
      <c r="W1263" s="904"/>
      <c r="X1263" s="904"/>
      <c r="Y1263" s="904"/>
    </row>
    <row r="1264" spans="1:25" x14ac:dyDescent="0.2">
      <c r="A1264" s="903"/>
      <c r="B1264" s="903"/>
      <c r="C1264" s="903"/>
      <c r="D1264" s="903"/>
      <c r="E1264" s="903"/>
      <c r="R1264" s="904"/>
      <c r="S1264" s="904"/>
      <c r="T1264" s="904"/>
      <c r="U1264" s="904"/>
      <c r="V1264" s="904"/>
      <c r="W1264" s="904"/>
      <c r="X1264" s="904"/>
      <c r="Y1264" s="904"/>
    </row>
    <row r="1265" spans="1:25" x14ac:dyDescent="0.2">
      <c r="A1265" s="903"/>
      <c r="B1265" s="903"/>
      <c r="C1265" s="903"/>
      <c r="D1265" s="903"/>
      <c r="E1265" s="903"/>
      <c r="R1265" s="904"/>
      <c r="S1265" s="904"/>
      <c r="T1265" s="904"/>
      <c r="U1265" s="904"/>
      <c r="V1265" s="904"/>
      <c r="W1265" s="904"/>
      <c r="X1265" s="904"/>
      <c r="Y1265" s="904"/>
    </row>
    <row r="1266" spans="1:25" x14ac:dyDescent="0.2">
      <c r="A1266" s="903"/>
      <c r="B1266" s="903"/>
      <c r="C1266" s="903"/>
      <c r="D1266" s="903"/>
      <c r="E1266" s="903"/>
      <c r="R1266" s="904"/>
      <c r="S1266" s="904"/>
      <c r="T1266" s="904"/>
      <c r="U1266" s="904"/>
      <c r="V1266" s="904"/>
      <c r="W1266" s="904"/>
      <c r="X1266" s="904"/>
      <c r="Y1266" s="904"/>
    </row>
    <row r="1267" spans="1:25" x14ac:dyDescent="0.2">
      <c r="A1267" s="903"/>
      <c r="B1267" s="903"/>
      <c r="C1267" s="903"/>
      <c r="D1267" s="903"/>
      <c r="E1267" s="903"/>
      <c r="R1267" s="904"/>
      <c r="S1267" s="904"/>
      <c r="T1267" s="904"/>
      <c r="U1267" s="904"/>
      <c r="V1267" s="904"/>
      <c r="W1267" s="904"/>
      <c r="X1267" s="904"/>
      <c r="Y1267" s="904"/>
    </row>
    <row r="1268" spans="1:25" x14ac:dyDescent="0.2">
      <c r="A1268" s="903"/>
      <c r="B1268" s="903"/>
      <c r="C1268" s="903"/>
      <c r="D1268" s="903"/>
      <c r="E1268" s="903"/>
      <c r="R1268" s="904"/>
      <c r="S1268" s="904"/>
      <c r="T1268" s="904"/>
      <c r="U1268" s="904"/>
      <c r="V1268" s="904"/>
      <c r="W1268" s="904"/>
      <c r="X1268" s="904"/>
      <c r="Y1268" s="904"/>
    </row>
    <row r="1269" spans="1:25" x14ac:dyDescent="0.2">
      <c r="A1269" s="903"/>
      <c r="B1269" s="903"/>
      <c r="C1269" s="903"/>
      <c r="D1269" s="903"/>
      <c r="E1269" s="903"/>
      <c r="R1269" s="904"/>
      <c r="S1269" s="904"/>
      <c r="T1269" s="904"/>
      <c r="U1269" s="904"/>
      <c r="V1269" s="904"/>
      <c r="W1269" s="904"/>
      <c r="X1269" s="904"/>
      <c r="Y1269" s="904"/>
    </row>
    <row r="1270" spans="1:25" x14ac:dyDescent="0.2">
      <c r="A1270" s="903"/>
      <c r="B1270" s="903"/>
      <c r="C1270" s="903"/>
      <c r="D1270" s="903"/>
      <c r="E1270" s="903"/>
      <c r="R1270" s="904"/>
      <c r="S1270" s="904"/>
      <c r="T1270" s="904"/>
      <c r="U1270" s="904"/>
      <c r="V1270" s="904"/>
      <c r="W1270" s="904"/>
      <c r="X1270" s="904"/>
      <c r="Y1270" s="904"/>
    </row>
    <row r="1271" spans="1:25" x14ac:dyDescent="0.2">
      <c r="A1271" s="903"/>
      <c r="B1271" s="903"/>
      <c r="C1271" s="903"/>
      <c r="D1271" s="903"/>
      <c r="E1271" s="903"/>
      <c r="R1271" s="904"/>
      <c r="S1271" s="904"/>
      <c r="T1271" s="904"/>
      <c r="U1271" s="904"/>
      <c r="V1271" s="904"/>
      <c r="W1271" s="904"/>
      <c r="X1271" s="904"/>
      <c r="Y1271" s="904"/>
    </row>
    <row r="1272" spans="1:25" x14ac:dyDescent="0.2">
      <c r="A1272" s="903"/>
      <c r="B1272" s="903"/>
      <c r="C1272" s="903"/>
      <c r="D1272" s="903"/>
      <c r="E1272" s="903"/>
      <c r="R1272" s="904"/>
      <c r="S1272" s="904"/>
      <c r="T1272" s="904"/>
      <c r="U1272" s="904"/>
      <c r="V1272" s="904"/>
      <c r="W1272" s="904"/>
      <c r="X1272" s="904"/>
      <c r="Y1272" s="904"/>
    </row>
    <row r="1273" spans="1:25" x14ac:dyDescent="0.2">
      <c r="A1273" s="903"/>
      <c r="B1273" s="903"/>
      <c r="C1273" s="903"/>
      <c r="D1273" s="903"/>
      <c r="E1273" s="903"/>
      <c r="R1273" s="904"/>
      <c r="S1273" s="904"/>
      <c r="T1273" s="904"/>
      <c r="U1273" s="904"/>
      <c r="V1273" s="904"/>
      <c r="W1273" s="904"/>
      <c r="X1273" s="904"/>
      <c r="Y1273" s="904"/>
    </row>
    <row r="1274" spans="1:25" x14ac:dyDescent="0.2">
      <c r="A1274" s="903"/>
      <c r="B1274" s="903"/>
      <c r="C1274" s="903"/>
      <c r="D1274" s="903"/>
      <c r="E1274" s="903"/>
      <c r="R1274" s="904"/>
      <c r="S1274" s="904"/>
      <c r="T1274" s="904"/>
      <c r="U1274" s="904"/>
      <c r="V1274" s="904"/>
      <c r="W1274" s="904"/>
      <c r="X1274" s="904"/>
      <c r="Y1274" s="904"/>
    </row>
    <row r="1275" spans="1:25" x14ac:dyDescent="0.2">
      <c r="A1275" s="903"/>
      <c r="B1275" s="903"/>
      <c r="C1275" s="903"/>
      <c r="D1275" s="903"/>
      <c r="E1275" s="903"/>
      <c r="R1275" s="904"/>
      <c r="S1275" s="904"/>
      <c r="T1275" s="904"/>
      <c r="U1275" s="904"/>
      <c r="V1275" s="904"/>
      <c r="W1275" s="904"/>
      <c r="X1275" s="904"/>
      <c r="Y1275" s="904"/>
    </row>
    <row r="1276" spans="1:25" x14ac:dyDescent="0.2">
      <c r="A1276" s="903"/>
      <c r="B1276" s="903"/>
      <c r="C1276" s="903"/>
      <c r="D1276" s="903"/>
      <c r="E1276" s="903"/>
      <c r="R1276" s="904"/>
      <c r="S1276" s="904"/>
      <c r="T1276" s="904"/>
      <c r="U1276" s="904"/>
      <c r="V1276" s="904"/>
      <c r="W1276" s="904"/>
      <c r="X1276" s="904"/>
      <c r="Y1276" s="904"/>
    </row>
    <row r="1277" spans="1:25" x14ac:dyDescent="0.2">
      <c r="A1277" s="903"/>
      <c r="B1277" s="903"/>
      <c r="C1277" s="903"/>
      <c r="D1277" s="903"/>
      <c r="E1277" s="903"/>
      <c r="R1277" s="904"/>
      <c r="S1277" s="904"/>
      <c r="T1277" s="904"/>
      <c r="U1277" s="904"/>
      <c r="V1277" s="904"/>
      <c r="W1277" s="904"/>
      <c r="X1277" s="904"/>
      <c r="Y1277" s="904"/>
    </row>
    <row r="1278" spans="1:25" x14ac:dyDescent="0.2">
      <c r="A1278" s="903"/>
      <c r="B1278" s="903"/>
      <c r="C1278" s="903"/>
      <c r="D1278" s="903"/>
      <c r="E1278" s="903"/>
      <c r="R1278" s="904"/>
      <c r="S1278" s="904"/>
      <c r="T1278" s="904"/>
      <c r="U1278" s="904"/>
      <c r="V1278" s="904"/>
      <c r="W1278" s="904"/>
      <c r="X1278" s="904"/>
      <c r="Y1278" s="904"/>
    </row>
    <row r="1279" spans="1:25" x14ac:dyDescent="0.2">
      <c r="A1279" s="903"/>
      <c r="B1279" s="903"/>
      <c r="C1279" s="903"/>
      <c r="D1279" s="903"/>
      <c r="E1279" s="903"/>
      <c r="R1279" s="904"/>
      <c r="S1279" s="904"/>
      <c r="T1279" s="904"/>
      <c r="U1279" s="904"/>
      <c r="V1279" s="904"/>
      <c r="W1279" s="904"/>
      <c r="X1279" s="904"/>
      <c r="Y1279" s="904"/>
    </row>
    <row r="1280" spans="1:25" x14ac:dyDescent="0.2">
      <c r="A1280" s="903"/>
      <c r="B1280" s="903"/>
      <c r="C1280" s="903"/>
      <c r="D1280" s="903"/>
      <c r="E1280" s="903"/>
      <c r="R1280" s="904"/>
      <c r="S1280" s="904"/>
      <c r="T1280" s="904"/>
      <c r="U1280" s="904"/>
      <c r="V1280" s="904"/>
      <c r="W1280" s="904"/>
      <c r="X1280" s="904"/>
      <c r="Y1280" s="904"/>
    </row>
    <row r="1281" spans="1:25" x14ac:dyDescent="0.2">
      <c r="A1281" s="903"/>
      <c r="B1281" s="903"/>
      <c r="C1281" s="903"/>
      <c r="D1281" s="903"/>
      <c r="E1281" s="903"/>
      <c r="R1281" s="904"/>
      <c r="S1281" s="904"/>
      <c r="T1281" s="904"/>
      <c r="U1281" s="904"/>
      <c r="V1281" s="904"/>
      <c r="W1281" s="904"/>
      <c r="X1281" s="904"/>
      <c r="Y1281" s="904"/>
    </row>
    <row r="1282" spans="1:25" x14ac:dyDescent="0.2">
      <c r="A1282" s="903"/>
      <c r="B1282" s="903"/>
      <c r="C1282" s="903"/>
      <c r="D1282" s="903"/>
      <c r="E1282" s="903"/>
      <c r="R1282" s="904"/>
      <c r="S1282" s="904"/>
      <c r="T1282" s="904"/>
      <c r="U1282" s="904"/>
      <c r="V1282" s="904"/>
      <c r="W1282" s="904"/>
      <c r="X1282" s="904"/>
      <c r="Y1282" s="904"/>
    </row>
    <row r="1283" spans="1:25" x14ac:dyDescent="0.2">
      <c r="A1283" s="903"/>
      <c r="B1283" s="903"/>
      <c r="C1283" s="903"/>
      <c r="D1283" s="903"/>
      <c r="E1283" s="903"/>
      <c r="R1283" s="904"/>
      <c r="S1283" s="904"/>
      <c r="T1283" s="904"/>
      <c r="U1283" s="904"/>
      <c r="V1283" s="904"/>
      <c r="W1283" s="904"/>
      <c r="X1283" s="904"/>
      <c r="Y1283" s="904"/>
    </row>
    <row r="1284" spans="1:25" x14ac:dyDescent="0.2">
      <c r="A1284" s="903"/>
      <c r="B1284" s="903"/>
      <c r="C1284" s="903"/>
      <c r="D1284" s="903"/>
      <c r="E1284" s="903"/>
      <c r="R1284" s="904"/>
      <c r="S1284" s="904"/>
      <c r="T1284" s="904"/>
      <c r="U1284" s="904"/>
      <c r="V1284" s="904"/>
      <c r="W1284" s="904"/>
      <c r="X1284" s="904"/>
      <c r="Y1284" s="904"/>
    </row>
    <row r="1285" spans="1:25" x14ac:dyDescent="0.2">
      <c r="A1285" s="903"/>
      <c r="B1285" s="903"/>
      <c r="C1285" s="903"/>
      <c r="D1285" s="903"/>
      <c r="E1285" s="903"/>
      <c r="R1285" s="904"/>
      <c r="S1285" s="904"/>
      <c r="T1285" s="904"/>
      <c r="U1285" s="904"/>
      <c r="V1285" s="904"/>
      <c r="W1285" s="904"/>
      <c r="X1285" s="904"/>
      <c r="Y1285" s="904"/>
    </row>
    <row r="1286" spans="1:25" x14ac:dyDescent="0.2">
      <c r="A1286" s="903"/>
      <c r="B1286" s="903"/>
      <c r="C1286" s="903"/>
      <c r="D1286" s="903"/>
      <c r="E1286" s="903"/>
      <c r="R1286" s="904"/>
      <c r="S1286" s="904"/>
      <c r="T1286" s="904"/>
      <c r="U1286" s="904"/>
      <c r="V1286" s="904"/>
      <c r="W1286" s="904"/>
      <c r="X1286" s="904"/>
      <c r="Y1286" s="904"/>
    </row>
    <row r="1287" spans="1:25" x14ac:dyDescent="0.2">
      <c r="A1287" s="903"/>
      <c r="B1287" s="903"/>
      <c r="C1287" s="903"/>
      <c r="D1287" s="903"/>
      <c r="E1287" s="903"/>
      <c r="R1287" s="904"/>
      <c r="S1287" s="904"/>
      <c r="T1287" s="904"/>
      <c r="U1287" s="904"/>
      <c r="V1287" s="904"/>
      <c r="W1287" s="904"/>
      <c r="X1287" s="904"/>
      <c r="Y1287" s="904"/>
    </row>
    <row r="1288" spans="1:25" x14ac:dyDescent="0.2">
      <c r="A1288" s="903"/>
      <c r="B1288" s="903"/>
      <c r="C1288" s="903"/>
      <c r="D1288" s="903"/>
      <c r="E1288" s="903"/>
      <c r="R1288" s="904"/>
      <c r="S1288" s="904"/>
      <c r="T1288" s="904"/>
      <c r="U1288" s="904"/>
      <c r="V1288" s="904"/>
      <c r="W1288" s="904"/>
      <c r="X1288" s="904"/>
      <c r="Y1288" s="904"/>
    </row>
    <row r="1289" spans="1:25" x14ac:dyDescent="0.2">
      <c r="A1289" s="903"/>
      <c r="B1289" s="903"/>
      <c r="C1289" s="903"/>
      <c r="D1289" s="903"/>
      <c r="E1289" s="903"/>
      <c r="R1289" s="904"/>
      <c r="S1289" s="904"/>
      <c r="T1289" s="904"/>
      <c r="U1289" s="904"/>
      <c r="V1289" s="904"/>
      <c r="W1289" s="904"/>
      <c r="X1289" s="904"/>
      <c r="Y1289" s="904"/>
    </row>
    <row r="1290" spans="1:25" x14ac:dyDescent="0.2">
      <c r="A1290" s="903"/>
      <c r="B1290" s="903"/>
      <c r="C1290" s="903"/>
      <c r="D1290" s="903"/>
      <c r="E1290" s="903"/>
      <c r="R1290" s="904"/>
      <c r="S1290" s="904"/>
      <c r="T1290" s="904"/>
      <c r="U1290" s="904"/>
      <c r="V1290" s="904"/>
      <c r="W1290" s="904"/>
      <c r="X1290" s="904"/>
      <c r="Y1290" s="904"/>
    </row>
    <row r="1291" spans="1:25" x14ac:dyDescent="0.2">
      <c r="A1291" s="903"/>
      <c r="B1291" s="903"/>
      <c r="C1291" s="903"/>
      <c r="D1291" s="903"/>
      <c r="E1291" s="903"/>
      <c r="R1291" s="904"/>
      <c r="S1291" s="904"/>
      <c r="T1291" s="904"/>
      <c r="U1291" s="904"/>
      <c r="V1291" s="904"/>
      <c r="W1291" s="904"/>
      <c r="X1291" s="904"/>
      <c r="Y1291" s="904"/>
    </row>
    <row r="1292" spans="1:25" x14ac:dyDescent="0.2">
      <c r="A1292" s="903"/>
      <c r="B1292" s="903"/>
      <c r="C1292" s="903"/>
      <c r="D1292" s="903"/>
      <c r="E1292" s="903"/>
      <c r="R1292" s="904"/>
      <c r="S1292" s="904"/>
      <c r="T1292" s="904"/>
      <c r="U1292" s="904"/>
      <c r="V1292" s="904"/>
      <c r="W1292" s="904"/>
      <c r="X1292" s="904"/>
      <c r="Y1292" s="904"/>
    </row>
    <row r="1293" spans="1:25" x14ac:dyDescent="0.2">
      <c r="A1293" s="903"/>
      <c r="B1293" s="903"/>
      <c r="C1293" s="903"/>
      <c r="D1293" s="903"/>
      <c r="E1293" s="903"/>
      <c r="R1293" s="904"/>
      <c r="S1293" s="904"/>
      <c r="T1293" s="904"/>
      <c r="U1293" s="904"/>
      <c r="V1293" s="904"/>
      <c r="W1293" s="904"/>
      <c r="X1293" s="904"/>
      <c r="Y1293" s="904"/>
    </row>
    <row r="1294" spans="1:25" x14ac:dyDescent="0.2">
      <c r="A1294" s="903"/>
      <c r="B1294" s="903"/>
      <c r="C1294" s="903"/>
      <c r="D1294" s="903"/>
      <c r="E1294" s="903"/>
      <c r="R1294" s="904"/>
      <c r="S1294" s="904"/>
      <c r="T1294" s="904"/>
      <c r="U1294" s="904"/>
      <c r="V1294" s="904"/>
      <c r="W1294" s="904"/>
      <c r="X1294" s="904"/>
      <c r="Y1294" s="904"/>
    </row>
    <row r="1295" spans="1:25" x14ac:dyDescent="0.2">
      <c r="A1295" s="903"/>
      <c r="B1295" s="903"/>
      <c r="C1295" s="903"/>
      <c r="D1295" s="903"/>
      <c r="E1295" s="903"/>
      <c r="R1295" s="904"/>
      <c r="S1295" s="904"/>
      <c r="T1295" s="904"/>
      <c r="U1295" s="904"/>
      <c r="V1295" s="904"/>
      <c r="W1295" s="904"/>
      <c r="X1295" s="904"/>
      <c r="Y1295" s="904"/>
    </row>
    <row r="1296" spans="1:25" x14ac:dyDescent="0.2">
      <c r="A1296" s="903"/>
      <c r="B1296" s="903"/>
      <c r="C1296" s="903"/>
      <c r="D1296" s="903"/>
      <c r="E1296" s="903"/>
      <c r="R1296" s="904"/>
      <c r="S1296" s="904"/>
      <c r="T1296" s="904"/>
      <c r="U1296" s="904"/>
      <c r="V1296" s="904"/>
      <c r="W1296" s="904"/>
      <c r="X1296" s="904"/>
      <c r="Y1296" s="904"/>
    </row>
    <row r="1297" spans="1:25" x14ac:dyDescent="0.2">
      <c r="A1297" s="903"/>
      <c r="B1297" s="903"/>
      <c r="C1297" s="903"/>
      <c r="D1297" s="903"/>
      <c r="E1297" s="903"/>
      <c r="R1297" s="904"/>
      <c r="S1297" s="904"/>
      <c r="T1297" s="904"/>
      <c r="U1297" s="904"/>
      <c r="V1297" s="904"/>
      <c r="W1297" s="904"/>
      <c r="X1297" s="904"/>
      <c r="Y1297" s="904"/>
    </row>
    <row r="1298" spans="1:25" x14ac:dyDescent="0.2">
      <c r="A1298" s="903"/>
      <c r="B1298" s="903"/>
      <c r="C1298" s="903"/>
      <c r="D1298" s="903"/>
      <c r="E1298" s="903"/>
      <c r="R1298" s="904"/>
      <c r="S1298" s="904"/>
      <c r="T1298" s="904"/>
      <c r="U1298" s="904"/>
      <c r="V1298" s="904"/>
      <c r="W1298" s="904"/>
      <c r="X1298" s="904"/>
      <c r="Y1298" s="904"/>
    </row>
    <row r="1299" spans="1:25" x14ac:dyDescent="0.2">
      <c r="A1299" s="903"/>
      <c r="B1299" s="903"/>
      <c r="C1299" s="903"/>
      <c r="D1299" s="903"/>
      <c r="E1299" s="903"/>
      <c r="R1299" s="904"/>
      <c r="S1299" s="904"/>
      <c r="T1299" s="904"/>
      <c r="U1299" s="904"/>
      <c r="V1299" s="904"/>
      <c r="W1299" s="904"/>
      <c r="X1299" s="904"/>
      <c r="Y1299" s="904"/>
    </row>
    <row r="1300" spans="1:25" x14ac:dyDescent="0.2">
      <c r="A1300" s="903"/>
      <c r="B1300" s="903"/>
      <c r="C1300" s="903"/>
      <c r="D1300" s="903"/>
      <c r="E1300" s="903"/>
      <c r="R1300" s="904"/>
      <c r="S1300" s="904"/>
      <c r="T1300" s="904"/>
      <c r="U1300" s="904"/>
      <c r="V1300" s="904"/>
      <c r="W1300" s="904"/>
      <c r="X1300" s="904"/>
      <c r="Y1300" s="904"/>
    </row>
    <row r="1301" spans="1:25" x14ac:dyDescent="0.2">
      <c r="A1301" s="903"/>
      <c r="B1301" s="903"/>
      <c r="C1301" s="903"/>
      <c r="D1301" s="903"/>
      <c r="E1301" s="903"/>
      <c r="R1301" s="904"/>
      <c r="S1301" s="904"/>
      <c r="T1301" s="904"/>
      <c r="U1301" s="904"/>
      <c r="V1301" s="904"/>
      <c r="W1301" s="904"/>
      <c r="X1301" s="904"/>
      <c r="Y1301" s="904"/>
    </row>
    <row r="1302" spans="1:25" x14ac:dyDescent="0.2">
      <c r="A1302" s="903"/>
      <c r="B1302" s="903"/>
      <c r="C1302" s="903"/>
      <c r="D1302" s="903"/>
      <c r="E1302" s="903"/>
      <c r="R1302" s="904"/>
      <c r="S1302" s="904"/>
      <c r="T1302" s="904"/>
      <c r="U1302" s="904"/>
      <c r="V1302" s="904"/>
      <c r="W1302" s="904"/>
      <c r="X1302" s="904"/>
      <c r="Y1302" s="904"/>
    </row>
    <row r="1303" spans="1:25" x14ac:dyDescent="0.2">
      <c r="A1303" s="903"/>
      <c r="B1303" s="903"/>
      <c r="C1303" s="903"/>
      <c r="D1303" s="903"/>
      <c r="E1303" s="903"/>
      <c r="R1303" s="904"/>
      <c r="S1303" s="904"/>
      <c r="T1303" s="904"/>
      <c r="U1303" s="904"/>
      <c r="V1303" s="904"/>
      <c r="W1303" s="904"/>
      <c r="X1303" s="904"/>
      <c r="Y1303" s="904"/>
    </row>
    <row r="1304" spans="1:25" x14ac:dyDescent="0.2">
      <c r="A1304" s="903"/>
      <c r="B1304" s="903"/>
      <c r="C1304" s="903"/>
      <c r="D1304" s="903"/>
      <c r="E1304" s="903"/>
      <c r="R1304" s="904"/>
      <c r="S1304" s="904"/>
      <c r="T1304" s="904"/>
      <c r="U1304" s="904"/>
      <c r="V1304" s="904"/>
      <c r="W1304" s="904"/>
      <c r="X1304" s="904"/>
      <c r="Y1304" s="904"/>
    </row>
    <row r="1305" spans="1:25" x14ac:dyDescent="0.2">
      <c r="A1305" s="903"/>
      <c r="B1305" s="903"/>
      <c r="C1305" s="903"/>
      <c r="D1305" s="903"/>
      <c r="E1305" s="903"/>
      <c r="R1305" s="904"/>
      <c r="S1305" s="904"/>
      <c r="T1305" s="904"/>
      <c r="U1305" s="904"/>
      <c r="V1305" s="904"/>
      <c r="W1305" s="904"/>
      <c r="X1305" s="904"/>
      <c r="Y1305" s="904"/>
    </row>
    <row r="1306" spans="1:25" x14ac:dyDescent="0.2">
      <c r="A1306" s="903"/>
      <c r="B1306" s="903"/>
      <c r="C1306" s="903"/>
      <c r="D1306" s="903"/>
      <c r="E1306" s="903"/>
      <c r="R1306" s="904"/>
      <c r="S1306" s="904"/>
      <c r="T1306" s="904"/>
      <c r="U1306" s="904"/>
      <c r="V1306" s="904"/>
      <c r="W1306" s="904"/>
      <c r="X1306" s="904"/>
      <c r="Y1306" s="904"/>
    </row>
    <row r="1307" spans="1:25" x14ac:dyDescent="0.2">
      <c r="A1307" s="903"/>
      <c r="B1307" s="903"/>
      <c r="C1307" s="903"/>
      <c r="D1307" s="903"/>
      <c r="E1307" s="903"/>
      <c r="R1307" s="904"/>
      <c r="S1307" s="904"/>
      <c r="T1307" s="904"/>
      <c r="U1307" s="904"/>
      <c r="V1307" s="904"/>
      <c r="W1307" s="904"/>
      <c r="X1307" s="904"/>
      <c r="Y1307" s="904"/>
    </row>
    <row r="1308" spans="1:25" x14ac:dyDescent="0.2">
      <c r="A1308" s="903"/>
      <c r="B1308" s="903"/>
      <c r="C1308" s="903"/>
      <c r="D1308" s="903"/>
      <c r="E1308" s="903"/>
      <c r="R1308" s="904"/>
      <c r="S1308" s="904"/>
      <c r="T1308" s="904"/>
      <c r="U1308" s="904"/>
      <c r="V1308" s="904"/>
      <c r="W1308" s="904"/>
      <c r="X1308" s="904"/>
      <c r="Y1308" s="904"/>
    </row>
    <row r="1309" spans="1:25" x14ac:dyDescent="0.2">
      <c r="A1309" s="903"/>
      <c r="B1309" s="903"/>
      <c r="C1309" s="903"/>
      <c r="D1309" s="903"/>
      <c r="E1309" s="903"/>
      <c r="R1309" s="904"/>
      <c r="S1309" s="904"/>
      <c r="T1309" s="904"/>
      <c r="U1309" s="904"/>
      <c r="V1309" s="904"/>
      <c r="W1309" s="904"/>
      <c r="X1309" s="904"/>
      <c r="Y1309" s="904"/>
    </row>
    <row r="1310" spans="1:25" x14ac:dyDescent="0.2">
      <c r="A1310" s="903"/>
      <c r="B1310" s="903"/>
      <c r="C1310" s="903"/>
      <c r="D1310" s="903"/>
      <c r="E1310" s="903"/>
      <c r="R1310" s="904"/>
      <c r="S1310" s="904"/>
      <c r="T1310" s="904"/>
      <c r="U1310" s="904"/>
      <c r="V1310" s="904"/>
      <c r="W1310" s="904"/>
      <c r="X1310" s="904"/>
      <c r="Y1310" s="904"/>
    </row>
    <row r="1311" spans="1:25" x14ac:dyDescent="0.2">
      <c r="A1311" s="903"/>
      <c r="B1311" s="903"/>
      <c r="C1311" s="903"/>
      <c r="D1311" s="903"/>
      <c r="E1311" s="903"/>
      <c r="R1311" s="904"/>
      <c r="S1311" s="904"/>
      <c r="T1311" s="904"/>
      <c r="U1311" s="904"/>
      <c r="V1311" s="904"/>
      <c r="W1311" s="904"/>
      <c r="X1311" s="904"/>
      <c r="Y1311" s="904"/>
    </row>
    <row r="1312" spans="1:25" x14ac:dyDescent="0.2">
      <c r="A1312" s="903"/>
      <c r="B1312" s="903"/>
      <c r="C1312" s="903"/>
      <c r="D1312" s="903"/>
      <c r="E1312" s="903"/>
      <c r="R1312" s="904"/>
      <c r="S1312" s="904"/>
      <c r="T1312" s="904"/>
      <c r="U1312" s="904"/>
      <c r="V1312" s="904"/>
      <c r="W1312" s="904"/>
      <c r="X1312" s="904"/>
      <c r="Y1312" s="904"/>
    </row>
    <row r="1313" spans="1:25" x14ac:dyDescent="0.2">
      <c r="A1313" s="903"/>
      <c r="B1313" s="903"/>
      <c r="C1313" s="903"/>
      <c r="D1313" s="903"/>
      <c r="E1313" s="903"/>
      <c r="R1313" s="904"/>
      <c r="S1313" s="904"/>
      <c r="T1313" s="904"/>
      <c r="U1313" s="904"/>
      <c r="V1313" s="904"/>
      <c r="W1313" s="904"/>
      <c r="X1313" s="904"/>
      <c r="Y1313" s="904"/>
    </row>
    <row r="1314" spans="1:25" x14ac:dyDescent="0.2">
      <c r="A1314" s="903"/>
      <c r="B1314" s="903"/>
      <c r="C1314" s="903"/>
      <c r="D1314" s="903"/>
      <c r="E1314" s="903"/>
      <c r="R1314" s="904"/>
      <c r="S1314" s="904"/>
      <c r="T1314" s="904"/>
      <c r="U1314" s="904"/>
      <c r="V1314" s="904"/>
      <c r="W1314" s="904"/>
      <c r="X1314" s="904"/>
      <c r="Y1314" s="904"/>
    </row>
    <row r="1315" spans="1:25" x14ac:dyDescent="0.2">
      <c r="A1315" s="903"/>
      <c r="B1315" s="903"/>
      <c r="C1315" s="903"/>
      <c r="D1315" s="903"/>
      <c r="E1315" s="903"/>
      <c r="R1315" s="904"/>
      <c r="S1315" s="904"/>
      <c r="T1315" s="904"/>
      <c r="U1315" s="904"/>
      <c r="V1315" s="904"/>
      <c r="W1315" s="904"/>
      <c r="X1315" s="904"/>
      <c r="Y1315" s="904"/>
    </row>
    <row r="1316" spans="1:25" x14ac:dyDescent="0.2">
      <c r="A1316" s="903"/>
      <c r="B1316" s="903"/>
      <c r="C1316" s="903"/>
      <c r="D1316" s="903"/>
      <c r="E1316" s="903"/>
      <c r="R1316" s="904"/>
      <c r="S1316" s="904"/>
      <c r="T1316" s="904"/>
      <c r="U1316" s="904"/>
      <c r="V1316" s="904"/>
      <c r="W1316" s="904"/>
      <c r="X1316" s="904"/>
      <c r="Y1316" s="904"/>
    </row>
    <row r="1317" spans="1:25" x14ac:dyDescent="0.2">
      <c r="A1317" s="903"/>
      <c r="B1317" s="903"/>
      <c r="C1317" s="903"/>
      <c r="D1317" s="903"/>
      <c r="E1317" s="903"/>
      <c r="R1317" s="904"/>
      <c r="S1317" s="904"/>
      <c r="T1317" s="904"/>
      <c r="U1317" s="904"/>
      <c r="V1317" s="904"/>
      <c r="W1317" s="904"/>
      <c r="X1317" s="904"/>
      <c r="Y1317" s="904"/>
    </row>
    <row r="1318" spans="1:25" x14ac:dyDescent="0.2">
      <c r="A1318" s="903"/>
      <c r="B1318" s="903"/>
      <c r="C1318" s="903"/>
      <c r="D1318" s="903"/>
      <c r="E1318" s="903"/>
      <c r="R1318" s="904"/>
      <c r="S1318" s="904"/>
      <c r="T1318" s="904"/>
      <c r="U1318" s="904"/>
      <c r="V1318" s="904"/>
      <c r="W1318" s="904"/>
      <c r="X1318" s="904"/>
      <c r="Y1318" s="904"/>
    </row>
    <row r="1319" spans="1:25" x14ac:dyDescent="0.2">
      <c r="A1319" s="903"/>
      <c r="B1319" s="903"/>
      <c r="C1319" s="903"/>
      <c r="D1319" s="903"/>
      <c r="E1319" s="903"/>
      <c r="R1319" s="904"/>
      <c r="S1319" s="904"/>
      <c r="T1319" s="904"/>
      <c r="U1319" s="904"/>
      <c r="V1319" s="904"/>
      <c r="W1319" s="904"/>
      <c r="X1319" s="904"/>
      <c r="Y1319" s="904"/>
    </row>
    <row r="1320" spans="1:25" x14ac:dyDescent="0.2">
      <c r="A1320" s="903"/>
      <c r="B1320" s="903"/>
      <c r="C1320" s="903"/>
      <c r="D1320" s="903"/>
      <c r="E1320" s="903"/>
      <c r="R1320" s="904"/>
      <c r="S1320" s="904"/>
      <c r="T1320" s="904"/>
      <c r="U1320" s="904"/>
      <c r="V1320" s="904"/>
      <c r="W1320" s="904"/>
      <c r="X1320" s="904"/>
      <c r="Y1320" s="904"/>
    </row>
    <row r="1321" spans="1:25" x14ac:dyDescent="0.2">
      <c r="A1321" s="903"/>
      <c r="B1321" s="903"/>
      <c r="C1321" s="903"/>
      <c r="D1321" s="903"/>
      <c r="E1321" s="903"/>
      <c r="R1321" s="904"/>
      <c r="S1321" s="904"/>
      <c r="T1321" s="904"/>
      <c r="U1321" s="904"/>
      <c r="V1321" s="904"/>
      <c r="W1321" s="904"/>
      <c r="X1321" s="904"/>
      <c r="Y1321" s="904"/>
    </row>
    <row r="1322" spans="1:25" x14ac:dyDescent="0.2">
      <c r="A1322" s="903"/>
      <c r="B1322" s="903"/>
      <c r="C1322" s="903"/>
      <c r="D1322" s="903"/>
      <c r="E1322" s="903"/>
      <c r="R1322" s="904"/>
      <c r="S1322" s="904"/>
      <c r="T1322" s="904"/>
      <c r="U1322" s="904"/>
      <c r="V1322" s="904"/>
      <c r="W1322" s="904"/>
      <c r="X1322" s="904"/>
      <c r="Y1322" s="904"/>
    </row>
    <row r="1323" spans="1:25" x14ac:dyDescent="0.2">
      <c r="A1323" s="903"/>
      <c r="B1323" s="903"/>
      <c r="C1323" s="903"/>
      <c r="D1323" s="903"/>
      <c r="E1323" s="903"/>
      <c r="R1323" s="904"/>
      <c r="S1323" s="904"/>
      <c r="T1323" s="904"/>
      <c r="U1323" s="904"/>
      <c r="V1323" s="904"/>
      <c r="W1323" s="904"/>
      <c r="X1323" s="904"/>
      <c r="Y1323" s="904"/>
    </row>
    <row r="1324" spans="1:25" x14ac:dyDescent="0.2">
      <c r="A1324" s="903"/>
      <c r="B1324" s="903"/>
      <c r="C1324" s="903"/>
      <c r="D1324" s="903"/>
      <c r="E1324" s="903"/>
      <c r="R1324" s="904"/>
      <c r="S1324" s="904"/>
      <c r="T1324" s="904"/>
      <c r="U1324" s="904"/>
      <c r="V1324" s="904"/>
      <c r="W1324" s="904"/>
      <c r="X1324" s="904"/>
      <c r="Y1324" s="904"/>
    </row>
    <row r="1325" spans="1:25" x14ac:dyDescent="0.2">
      <c r="A1325" s="903"/>
      <c r="B1325" s="903"/>
      <c r="C1325" s="903"/>
      <c r="D1325" s="903"/>
      <c r="E1325" s="903"/>
      <c r="R1325" s="904"/>
      <c r="S1325" s="904"/>
      <c r="T1325" s="904"/>
      <c r="U1325" s="904"/>
      <c r="V1325" s="904"/>
      <c r="W1325" s="904"/>
      <c r="X1325" s="904"/>
      <c r="Y1325" s="904"/>
    </row>
    <row r="1326" spans="1:25" x14ac:dyDescent="0.2">
      <c r="A1326" s="903"/>
      <c r="B1326" s="903"/>
      <c r="C1326" s="903"/>
      <c r="D1326" s="903"/>
      <c r="E1326" s="903"/>
      <c r="R1326" s="904"/>
      <c r="S1326" s="904"/>
      <c r="T1326" s="904"/>
      <c r="U1326" s="904"/>
      <c r="V1326" s="904"/>
      <c r="W1326" s="904"/>
      <c r="X1326" s="904"/>
      <c r="Y1326" s="904"/>
    </row>
    <row r="1327" spans="1:25" x14ac:dyDescent="0.2">
      <c r="A1327" s="903"/>
      <c r="B1327" s="903"/>
      <c r="C1327" s="903"/>
      <c r="D1327" s="903"/>
      <c r="E1327" s="903"/>
      <c r="R1327" s="904"/>
      <c r="S1327" s="904"/>
      <c r="T1327" s="904"/>
      <c r="U1327" s="904"/>
      <c r="V1327" s="904"/>
      <c r="W1327" s="904"/>
      <c r="X1327" s="904"/>
      <c r="Y1327" s="904"/>
    </row>
    <row r="1328" spans="1:25" x14ac:dyDescent="0.2">
      <c r="A1328" s="903"/>
      <c r="B1328" s="903"/>
      <c r="C1328" s="903"/>
      <c r="D1328" s="903"/>
      <c r="E1328" s="903"/>
      <c r="R1328" s="904"/>
      <c r="S1328" s="904"/>
      <c r="T1328" s="904"/>
      <c r="U1328" s="904"/>
      <c r="V1328" s="904"/>
      <c r="W1328" s="904"/>
      <c r="X1328" s="904"/>
      <c r="Y1328" s="904"/>
    </row>
    <row r="1329" spans="1:25" x14ac:dyDescent="0.2">
      <c r="A1329" s="903"/>
      <c r="B1329" s="903"/>
      <c r="C1329" s="903"/>
      <c r="D1329" s="903"/>
      <c r="E1329" s="903"/>
      <c r="R1329" s="904"/>
      <c r="S1329" s="904"/>
      <c r="T1329" s="904"/>
      <c r="U1329" s="904"/>
      <c r="V1329" s="904"/>
      <c r="W1329" s="904"/>
      <c r="X1329" s="904"/>
      <c r="Y1329" s="904"/>
    </row>
    <row r="1330" spans="1:25" x14ac:dyDescent="0.2">
      <c r="A1330" s="903"/>
      <c r="B1330" s="903"/>
      <c r="C1330" s="903"/>
      <c r="D1330" s="903"/>
      <c r="E1330" s="903"/>
      <c r="R1330" s="904"/>
      <c r="S1330" s="904"/>
      <c r="T1330" s="904"/>
      <c r="U1330" s="904"/>
      <c r="V1330" s="904"/>
      <c r="W1330" s="904"/>
      <c r="X1330" s="904"/>
      <c r="Y1330" s="904"/>
    </row>
    <row r="1331" spans="1:25" x14ac:dyDescent="0.2">
      <c r="A1331" s="903"/>
      <c r="B1331" s="903"/>
      <c r="C1331" s="903"/>
      <c r="D1331" s="903"/>
      <c r="E1331" s="903"/>
      <c r="R1331" s="904"/>
      <c r="S1331" s="904"/>
      <c r="T1331" s="904"/>
      <c r="U1331" s="904"/>
      <c r="V1331" s="904"/>
      <c r="W1331" s="904"/>
      <c r="X1331" s="904"/>
      <c r="Y1331" s="904"/>
    </row>
    <row r="1332" spans="1:25" x14ac:dyDescent="0.2">
      <c r="A1332" s="903"/>
      <c r="B1332" s="903"/>
      <c r="C1332" s="903"/>
      <c r="D1332" s="903"/>
      <c r="E1332" s="903"/>
      <c r="R1332" s="904"/>
      <c r="S1332" s="904"/>
      <c r="T1332" s="904"/>
      <c r="U1332" s="904"/>
      <c r="V1332" s="904"/>
      <c r="W1332" s="904"/>
      <c r="X1332" s="904"/>
      <c r="Y1332" s="904"/>
    </row>
    <row r="1333" spans="1:25" x14ac:dyDescent="0.2">
      <c r="A1333" s="903"/>
      <c r="B1333" s="903"/>
      <c r="C1333" s="903"/>
      <c r="D1333" s="903"/>
      <c r="E1333" s="903"/>
      <c r="R1333" s="904"/>
      <c r="S1333" s="904"/>
      <c r="T1333" s="904"/>
      <c r="U1333" s="904"/>
      <c r="V1333" s="904"/>
      <c r="W1333" s="904"/>
      <c r="X1333" s="904"/>
      <c r="Y1333" s="904"/>
    </row>
    <row r="1334" spans="1:25" x14ac:dyDescent="0.2">
      <c r="A1334" s="903"/>
      <c r="B1334" s="903"/>
      <c r="C1334" s="903"/>
      <c r="D1334" s="903"/>
      <c r="E1334" s="903"/>
      <c r="R1334" s="904"/>
      <c r="S1334" s="904"/>
      <c r="T1334" s="904"/>
      <c r="U1334" s="904"/>
      <c r="V1334" s="904"/>
      <c r="W1334" s="904"/>
      <c r="X1334" s="904"/>
      <c r="Y1334" s="904"/>
    </row>
    <row r="1335" spans="1:25" x14ac:dyDescent="0.2">
      <c r="A1335" s="903"/>
      <c r="B1335" s="903"/>
      <c r="C1335" s="903"/>
      <c r="D1335" s="903"/>
      <c r="E1335" s="903"/>
      <c r="R1335" s="904"/>
      <c r="S1335" s="904"/>
      <c r="T1335" s="904"/>
      <c r="U1335" s="904"/>
      <c r="V1335" s="904"/>
      <c r="W1335" s="904"/>
      <c r="X1335" s="904"/>
      <c r="Y1335" s="904"/>
    </row>
    <row r="1336" spans="1:25" x14ac:dyDescent="0.2">
      <c r="A1336" s="903"/>
      <c r="B1336" s="903"/>
      <c r="C1336" s="903"/>
      <c r="D1336" s="903"/>
      <c r="E1336" s="903"/>
      <c r="R1336" s="904"/>
      <c r="S1336" s="904"/>
      <c r="T1336" s="904"/>
      <c r="U1336" s="904"/>
      <c r="V1336" s="904"/>
      <c r="W1336" s="904"/>
      <c r="X1336" s="904"/>
      <c r="Y1336" s="904"/>
    </row>
    <row r="1337" spans="1:25" x14ac:dyDescent="0.2">
      <c r="A1337" s="903"/>
      <c r="B1337" s="903"/>
      <c r="C1337" s="903"/>
      <c r="D1337" s="903"/>
      <c r="E1337" s="903"/>
      <c r="R1337" s="904"/>
      <c r="S1337" s="904"/>
      <c r="T1337" s="904"/>
      <c r="U1337" s="904"/>
      <c r="V1337" s="904"/>
      <c r="W1337" s="904"/>
      <c r="X1337" s="904"/>
      <c r="Y1337" s="904"/>
    </row>
    <row r="1338" spans="1:25" x14ac:dyDescent="0.2">
      <c r="A1338" s="903"/>
      <c r="B1338" s="903"/>
      <c r="C1338" s="903"/>
      <c r="D1338" s="903"/>
      <c r="E1338" s="903"/>
      <c r="R1338" s="904"/>
      <c r="S1338" s="904"/>
      <c r="T1338" s="904"/>
      <c r="U1338" s="904"/>
      <c r="V1338" s="904"/>
      <c r="W1338" s="904"/>
      <c r="X1338" s="904"/>
      <c r="Y1338" s="904"/>
    </row>
    <row r="1339" spans="1:25" x14ac:dyDescent="0.2">
      <c r="A1339" s="903"/>
      <c r="B1339" s="903"/>
      <c r="C1339" s="903"/>
      <c r="D1339" s="903"/>
      <c r="E1339" s="903"/>
      <c r="R1339" s="904"/>
      <c r="S1339" s="904"/>
      <c r="T1339" s="904"/>
      <c r="U1339" s="904"/>
      <c r="V1339" s="904"/>
      <c r="W1339" s="904"/>
      <c r="X1339" s="904"/>
      <c r="Y1339" s="904"/>
    </row>
    <row r="1340" spans="1:25" x14ac:dyDescent="0.2">
      <c r="A1340" s="903"/>
      <c r="B1340" s="903"/>
      <c r="C1340" s="903"/>
      <c r="D1340" s="903"/>
      <c r="E1340" s="903"/>
      <c r="R1340" s="904"/>
      <c r="S1340" s="904"/>
      <c r="T1340" s="904"/>
      <c r="U1340" s="904"/>
      <c r="V1340" s="904"/>
      <c r="W1340" s="904"/>
      <c r="X1340" s="904"/>
      <c r="Y1340" s="904"/>
    </row>
    <row r="1341" spans="1:25" x14ac:dyDescent="0.2">
      <c r="A1341" s="903"/>
      <c r="B1341" s="903"/>
      <c r="C1341" s="903"/>
      <c r="D1341" s="903"/>
      <c r="E1341" s="903"/>
      <c r="R1341" s="904"/>
      <c r="S1341" s="904"/>
      <c r="T1341" s="904"/>
      <c r="U1341" s="904"/>
      <c r="V1341" s="904"/>
      <c r="W1341" s="904"/>
      <c r="X1341" s="904"/>
      <c r="Y1341" s="904"/>
    </row>
    <row r="1342" spans="1:25" x14ac:dyDescent="0.2">
      <c r="A1342" s="903"/>
      <c r="B1342" s="903"/>
      <c r="C1342" s="903"/>
      <c r="D1342" s="903"/>
      <c r="E1342" s="903"/>
      <c r="R1342" s="904"/>
      <c r="S1342" s="904"/>
      <c r="T1342" s="904"/>
      <c r="U1342" s="904"/>
      <c r="V1342" s="904"/>
      <c r="W1342" s="904"/>
      <c r="X1342" s="904"/>
      <c r="Y1342" s="904"/>
    </row>
    <row r="1343" spans="1:25" x14ac:dyDescent="0.2">
      <c r="A1343" s="903"/>
      <c r="B1343" s="903"/>
      <c r="C1343" s="903"/>
      <c r="D1343" s="903"/>
      <c r="E1343" s="903"/>
      <c r="R1343" s="904"/>
      <c r="S1343" s="904"/>
      <c r="T1343" s="904"/>
      <c r="U1343" s="904"/>
      <c r="V1343" s="904"/>
      <c r="W1343" s="904"/>
      <c r="X1343" s="904"/>
      <c r="Y1343" s="904"/>
    </row>
    <row r="1344" spans="1:25" x14ac:dyDescent="0.2">
      <c r="A1344" s="903"/>
      <c r="B1344" s="903"/>
      <c r="C1344" s="903"/>
      <c r="D1344" s="903"/>
      <c r="E1344" s="903"/>
      <c r="R1344" s="904"/>
      <c r="S1344" s="904"/>
      <c r="T1344" s="904"/>
      <c r="U1344" s="904"/>
      <c r="V1344" s="904"/>
      <c r="W1344" s="904"/>
      <c r="X1344" s="904"/>
      <c r="Y1344" s="904"/>
    </row>
    <row r="1345" spans="1:25" x14ac:dyDescent="0.2">
      <c r="A1345" s="903"/>
      <c r="B1345" s="903"/>
      <c r="C1345" s="903"/>
      <c r="D1345" s="903"/>
      <c r="E1345" s="903"/>
      <c r="R1345" s="904"/>
      <c r="S1345" s="904"/>
      <c r="T1345" s="904"/>
      <c r="U1345" s="904"/>
      <c r="V1345" s="904"/>
      <c r="W1345" s="904"/>
      <c r="X1345" s="904"/>
      <c r="Y1345" s="904"/>
    </row>
    <row r="1346" spans="1:25" x14ac:dyDescent="0.2">
      <c r="A1346" s="903"/>
      <c r="B1346" s="903"/>
      <c r="C1346" s="903"/>
      <c r="D1346" s="903"/>
      <c r="E1346" s="903"/>
      <c r="R1346" s="904"/>
      <c r="S1346" s="904"/>
      <c r="T1346" s="904"/>
      <c r="U1346" s="904"/>
      <c r="V1346" s="904"/>
      <c r="W1346" s="904"/>
      <c r="X1346" s="904"/>
      <c r="Y1346" s="904"/>
    </row>
    <row r="1347" spans="1:25" x14ac:dyDescent="0.2">
      <c r="A1347" s="903"/>
      <c r="B1347" s="903"/>
      <c r="C1347" s="903"/>
      <c r="D1347" s="903"/>
      <c r="E1347" s="903"/>
      <c r="R1347" s="904"/>
      <c r="S1347" s="904"/>
      <c r="T1347" s="904"/>
      <c r="U1347" s="904"/>
      <c r="V1347" s="904"/>
      <c r="W1347" s="904"/>
      <c r="X1347" s="904"/>
      <c r="Y1347" s="904"/>
    </row>
    <row r="1348" spans="1:25" x14ac:dyDescent="0.2">
      <c r="A1348" s="903"/>
      <c r="B1348" s="903"/>
      <c r="C1348" s="903"/>
      <c r="D1348" s="903"/>
      <c r="E1348" s="903"/>
      <c r="R1348" s="904"/>
      <c r="S1348" s="904"/>
      <c r="T1348" s="904"/>
      <c r="U1348" s="904"/>
      <c r="V1348" s="904"/>
      <c r="W1348" s="904"/>
      <c r="X1348" s="904"/>
      <c r="Y1348" s="904"/>
    </row>
    <row r="1349" spans="1:25" x14ac:dyDescent="0.2">
      <c r="A1349" s="903"/>
      <c r="B1349" s="903"/>
      <c r="C1349" s="903"/>
      <c r="D1349" s="903"/>
      <c r="E1349" s="903"/>
      <c r="R1349" s="904"/>
      <c r="S1349" s="904"/>
      <c r="T1349" s="904"/>
      <c r="U1349" s="904"/>
      <c r="V1349" s="904"/>
      <c r="W1349" s="904"/>
      <c r="X1349" s="904"/>
      <c r="Y1349" s="904"/>
    </row>
    <row r="1350" spans="1:25" x14ac:dyDescent="0.2">
      <c r="A1350" s="903"/>
      <c r="B1350" s="903"/>
      <c r="C1350" s="903"/>
      <c r="D1350" s="903"/>
      <c r="E1350" s="903"/>
      <c r="R1350" s="904"/>
      <c r="S1350" s="904"/>
      <c r="T1350" s="904"/>
      <c r="U1350" s="904"/>
      <c r="V1350" s="904"/>
      <c r="W1350" s="904"/>
      <c r="X1350" s="904"/>
      <c r="Y1350" s="904"/>
    </row>
    <row r="1351" spans="1:25" x14ac:dyDescent="0.2">
      <c r="A1351" s="903"/>
      <c r="B1351" s="903"/>
      <c r="C1351" s="903"/>
      <c r="D1351" s="903"/>
      <c r="E1351" s="903"/>
      <c r="R1351" s="904"/>
      <c r="S1351" s="904"/>
      <c r="T1351" s="904"/>
      <c r="U1351" s="904"/>
      <c r="V1351" s="904"/>
      <c r="W1351" s="904"/>
      <c r="X1351" s="904"/>
      <c r="Y1351" s="904"/>
    </row>
    <row r="1352" spans="1:25" x14ac:dyDescent="0.2">
      <c r="A1352" s="903"/>
      <c r="B1352" s="903"/>
      <c r="C1352" s="903"/>
      <c r="D1352" s="903"/>
      <c r="E1352" s="903"/>
      <c r="R1352" s="904"/>
      <c r="S1352" s="904"/>
      <c r="T1352" s="904"/>
      <c r="U1352" s="904"/>
      <c r="V1352" s="904"/>
      <c r="W1352" s="904"/>
      <c r="X1352" s="904"/>
      <c r="Y1352" s="904"/>
    </row>
    <row r="1353" spans="1:25" x14ac:dyDescent="0.2">
      <c r="A1353" s="903"/>
      <c r="B1353" s="903"/>
      <c r="C1353" s="903"/>
      <c r="D1353" s="903"/>
      <c r="E1353" s="903"/>
      <c r="R1353" s="904"/>
      <c r="S1353" s="904"/>
      <c r="T1353" s="904"/>
      <c r="U1353" s="904"/>
      <c r="V1353" s="904"/>
      <c r="W1353" s="904"/>
      <c r="X1353" s="904"/>
      <c r="Y1353" s="904"/>
    </row>
    <row r="1354" spans="1:25" x14ac:dyDescent="0.2">
      <c r="A1354" s="903"/>
      <c r="B1354" s="903"/>
      <c r="C1354" s="903"/>
      <c r="D1354" s="903"/>
      <c r="E1354" s="903"/>
      <c r="R1354" s="904"/>
      <c r="S1354" s="904"/>
      <c r="T1354" s="904"/>
      <c r="U1354" s="904"/>
      <c r="V1354" s="904"/>
      <c r="W1354" s="904"/>
      <c r="X1354" s="904"/>
      <c r="Y1354" s="904"/>
    </row>
    <row r="1355" spans="1:25" x14ac:dyDescent="0.2">
      <c r="A1355" s="903"/>
      <c r="B1355" s="903"/>
      <c r="C1355" s="903"/>
      <c r="D1355" s="903"/>
      <c r="E1355" s="903"/>
      <c r="R1355" s="904"/>
      <c r="S1355" s="904"/>
      <c r="T1355" s="904"/>
      <c r="U1355" s="904"/>
      <c r="V1355" s="904"/>
      <c r="W1355" s="904"/>
      <c r="X1355" s="904"/>
      <c r="Y1355" s="904"/>
    </row>
    <row r="1356" spans="1:25" x14ac:dyDescent="0.2">
      <c r="A1356" s="903"/>
      <c r="B1356" s="903"/>
      <c r="C1356" s="903"/>
      <c r="D1356" s="903"/>
      <c r="E1356" s="903"/>
      <c r="R1356" s="904"/>
      <c r="S1356" s="904"/>
      <c r="T1356" s="904"/>
      <c r="U1356" s="904"/>
      <c r="V1356" s="904"/>
      <c r="W1356" s="904"/>
      <c r="X1356" s="904"/>
      <c r="Y1356" s="904"/>
    </row>
    <row r="1357" spans="1:25" x14ac:dyDescent="0.2">
      <c r="A1357" s="903"/>
      <c r="B1357" s="903"/>
      <c r="C1357" s="903"/>
      <c r="D1357" s="903"/>
      <c r="E1357" s="903"/>
      <c r="R1357" s="904"/>
      <c r="S1357" s="904"/>
      <c r="T1357" s="904"/>
      <c r="U1357" s="904"/>
      <c r="V1357" s="904"/>
      <c r="W1357" s="904"/>
      <c r="X1357" s="904"/>
      <c r="Y1357" s="904"/>
    </row>
    <row r="1358" spans="1:25" x14ac:dyDescent="0.2">
      <c r="A1358" s="903"/>
      <c r="B1358" s="903"/>
      <c r="C1358" s="903"/>
      <c r="D1358" s="903"/>
      <c r="E1358" s="903"/>
      <c r="R1358" s="904"/>
      <c r="S1358" s="904"/>
      <c r="T1358" s="904"/>
      <c r="U1358" s="904"/>
      <c r="V1358" s="904"/>
      <c r="W1358" s="904"/>
      <c r="X1358" s="904"/>
      <c r="Y1358" s="904"/>
    </row>
    <row r="1359" spans="1:25" x14ac:dyDescent="0.2">
      <c r="A1359" s="903"/>
      <c r="B1359" s="903"/>
      <c r="C1359" s="903"/>
      <c r="D1359" s="903"/>
      <c r="E1359" s="903"/>
      <c r="R1359" s="904"/>
      <c r="S1359" s="904"/>
      <c r="T1359" s="904"/>
      <c r="U1359" s="904"/>
      <c r="V1359" s="904"/>
      <c r="W1359" s="904"/>
      <c r="X1359" s="904"/>
      <c r="Y1359" s="904"/>
    </row>
    <row r="1360" spans="1:25" x14ac:dyDescent="0.2">
      <c r="A1360" s="903"/>
      <c r="B1360" s="903"/>
      <c r="C1360" s="903"/>
      <c r="D1360" s="903"/>
      <c r="E1360" s="903"/>
      <c r="R1360" s="904"/>
      <c r="S1360" s="904"/>
      <c r="T1360" s="904"/>
      <c r="U1360" s="904"/>
      <c r="V1360" s="904"/>
      <c r="W1360" s="904"/>
      <c r="X1360" s="904"/>
      <c r="Y1360" s="904"/>
    </row>
    <row r="1361" spans="1:25" x14ac:dyDescent="0.2">
      <c r="A1361" s="903"/>
      <c r="B1361" s="903"/>
      <c r="C1361" s="903"/>
      <c r="D1361" s="903"/>
      <c r="E1361" s="903"/>
      <c r="R1361" s="904"/>
      <c r="S1361" s="904"/>
      <c r="T1361" s="904"/>
      <c r="U1361" s="904"/>
      <c r="V1361" s="904"/>
      <c r="W1361" s="904"/>
      <c r="X1361" s="904"/>
      <c r="Y1361" s="904"/>
    </row>
    <row r="1362" spans="1:25" x14ac:dyDescent="0.2">
      <c r="A1362" s="903"/>
      <c r="B1362" s="903"/>
      <c r="C1362" s="903"/>
      <c r="D1362" s="903"/>
      <c r="E1362" s="903"/>
      <c r="R1362" s="904"/>
      <c r="S1362" s="904"/>
      <c r="T1362" s="904"/>
      <c r="U1362" s="904"/>
      <c r="V1362" s="904"/>
      <c r="W1362" s="904"/>
      <c r="X1362" s="904"/>
      <c r="Y1362" s="904"/>
    </row>
    <row r="1363" spans="1:25" x14ac:dyDescent="0.2">
      <c r="A1363" s="903"/>
      <c r="B1363" s="903"/>
      <c r="C1363" s="903"/>
      <c r="D1363" s="903"/>
      <c r="E1363" s="903"/>
      <c r="R1363" s="904"/>
      <c r="S1363" s="904"/>
      <c r="T1363" s="904"/>
      <c r="U1363" s="904"/>
      <c r="V1363" s="904"/>
      <c r="W1363" s="904"/>
      <c r="X1363" s="904"/>
      <c r="Y1363" s="904"/>
    </row>
    <row r="1364" spans="1:25" x14ac:dyDescent="0.2">
      <c r="A1364" s="903"/>
      <c r="B1364" s="903"/>
      <c r="C1364" s="903"/>
      <c r="D1364" s="903"/>
      <c r="E1364" s="903"/>
      <c r="R1364" s="904"/>
      <c r="S1364" s="904"/>
      <c r="T1364" s="904"/>
      <c r="U1364" s="904"/>
      <c r="V1364" s="904"/>
      <c r="W1364" s="904"/>
      <c r="X1364" s="904"/>
      <c r="Y1364" s="904"/>
    </row>
    <row r="1365" spans="1:25" x14ac:dyDescent="0.2">
      <c r="A1365" s="903"/>
      <c r="B1365" s="903"/>
      <c r="C1365" s="903"/>
      <c r="D1365" s="903"/>
      <c r="E1365" s="903"/>
      <c r="R1365" s="904"/>
      <c r="S1365" s="904"/>
      <c r="T1365" s="904"/>
      <c r="U1365" s="904"/>
      <c r="V1365" s="904"/>
      <c r="W1365" s="904"/>
      <c r="X1365" s="904"/>
      <c r="Y1365" s="904"/>
    </row>
    <row r="1366" spans="1:25" x14ac:dyDescent="0.2">
      <c r="A1366" s="903"/>
      <c r="B1366" s="903"/>
      <c r="C1366" s="903"/>
      <c r="D1366" s="903"/>
      <c r="E1366" s="903"/>
      <c r="R1366" s="904"/>
      <c r="S1366" s="904"/>
      <c r="T1366" s="904"/>
      <c r="U1366" s="904"/>
      <c r="V1366" s="904"/>
      <c r="W1366" s="904"/>
      <c r="X1366" s="904"/>
      <c r="Y1366" s="904"/>
    </row>
    <row r="1367" spans="1:25" x14ac:dyDescent="0.2">
      <c r="A1367" s="903"/>
      <c r="B1367" s="903"/>
      <c r="C1367" s="903"/>
      <c r="D1367" s="903"/>
      <c r="E1367" s="903"/>
      <c r="R1367" s="904"/>
      <c r="S1367" s="904"/>
      <c r="T1367" s="904"/>
      <c r="U1367" s="904"/>
      <c r="V1367" s="904"/>
      <c r="W1367" s="904"/>
      <c r="X1367" s="904"/>
      <c r="Y1367" s="904"/>
    </row>
    <row r="1368" spans="1:25" x14ac:dyDescent="0.2">
      <c r="A1368" s="903"/>
      <c r="B1368" s="903"/>
      <c r="C1368" s="903"/>
      <c r="D1368" s="903"/>
      <c r="E1368" s="903"/>
      <c r="R1368" s="904"/>
      <c r="S1368" s="904"/>
      <c r="T1368" s="904"/>
      <c r="U1368" s="904"/>
      <c r="V1368" s="904"/>
      <c r="W1368" s="904"/>
      <c r="X1368" s="904"/>
      <c r="Y1368" s="904"/>
    </row>
    <row r="1369" spans="1:25" x14ac:dyDescent="0.2">
      <c r="A1369" s="903"/>
      <c r="B1369" s="903"/>
      <c r="C1369" s="903"/>
      <c r="D1369" s="903"/>
      <c r="E1369" s="903"/>
      <c r="R1369" s="904"/>
      <c r="S1369" s="904"/>
      <c r="T1369" s="904"/>
      <c r="U1369" s="904"/>
      <c r="V1369" s="904"/>
      <c r="W1369" s="904"/>
      <c r="X1369" s="904"/>
      <c r="Y1369" s="904"/>
    </row>
    <row r="1370" spans="1:25" x14ac:dyDescent="0.2">
      <c r="A1370" s="903"/>
      <c r="B1370" s="903"/>
      <c r="C1370" s="903"/>
      <c r="D1370" s="903"/>
      <c r="E1370" s="903"/>
      <c r="R1370" s="904"/>
      <c r="S1370" s="904"/>
      <c r="T1370" s="904"/>
      <c r="U1370" s="904"/>
      <c r="V1370" s="904"/>
      <c r="W1370" s="904"/>
      <c r="X1370" s="904"/>
      <c r="Y1370" s="904"/>
    </row>
    <row r="1371" spans="1:25" x14ac:dyDescent="0.2">
      <c r="A1371" s="903"/>
      <c r="B1371" s="903"/>
      <c r="C1371" s="903"/>
      <c r="D1371" s="903"/>
      <c r="E1371" s="903"/>
      <c r="R1371" s="904"/>
      <c r="S1371" s="904"/>
      <c r="T1371" s="904"/>
      <c r="U1371" s="904"/>
      <c r="V1371" s="904"/>
      <c r="W1371" s="904"/>
      <c r="X1371" s="904"/>
      <c r="Y1371" s="904"/>
    </row>
    <row r="1372" spans="1:25" x14ac:dyDescent="0.2">
      <c r="A1372" s="903"/>
      <c r="B1372" s="903"/>
      <c r="C1372" s="903"/>
      <c r="D1372" s="903"/>
      <c r="E1372" s="903"/>
      <c r="R1372" s="904"/>
      <c r="S1372" s="904"/>
      <c r="T1372" s="904"/>
      <c r="U1372" s="904"/>
      <c r="V1372" s="904"/>
      <c r="W1372" s="904"/>
      <c r="X1372" s="904"/>
      <c r="Y1372" s="904"/>
    </row>
    <row r="1373" spans="1:25" x14ac:dyDescent="0.2">
      <c r="A1373" s="903"/>
      <c r="B1373" s="903"/>
      <c r="C1373" s="903"/>
      <c r="D1373" s="903"/>
      <c r="E1373" s="903"/>
      <c r="R1373" s="904"/>
      <c r="S1373" s="904"/>
      <c r="T1373" s="904"/>
      <c r="U1373" s="904"/>
      <c r="V1373" s="904"/>
      <c r="W1373" s="904"/>
      <c r="X1373" s="904"/>
      <c r="Y1373" s="904"/>
    </row>
    <row r="1374" spans="1:25" x14ac:dyDescent="0.2">
      <c r="A1374" s="903"/>
      <c r="B1374" s="903"/>
      <c r="C1374" s="903"/>
      <c r="D1374" s="903"/>
      <c r="E1374" s="903"/>
      <c r="R1374" s="904"/>
      <c r="S1374" s="904"/>
      <c r="T1374" s="904"/>
      <c r="U1374" s="904"/>
      <c r="V1374" s="904"/>
      <c r="W1374" s="904"/>
      <c r="X1374" s="904"/>
      <c r="Y1374" s="904"/>
    </row>
    <row r="1375" spans="1:25" x14ac:dyDescent="0.2">
      <c r="A1375" s="903"/>
      <c r="B1375" s="903"/>
      <c r="C1375" s="903"/>
      <c r="D1375" s="903"/>
      <c r="E1375" s="903"/>
      <c r="R1375" s="904"/>
      <c r="S1375" s="904"/>
      <c r="T1375" s="904"/>
      <c r="U1375" s="904"/>
      <c r="V1375" s="904"/>
      <c r="W1375" s="904"/>
      <c r="X1375" s="904"/>
      <c r="Y1375" s="904"/>
    </row>
    <row r="1376" spans="1:25" x14ac:dyDescent="0.2">
      <c r="A1376" s="903"/>
      <c r="B1376" s="903"/>
      <c r="C1376" s="903"/>
      <c r="D1376" s="903"/>
      <c r="E1376" s="903"/>
      <c r="R1376" s="904"/>
      <c r="S1376" s="904"/>
      <c r="T1376" s="904"/>
      <c r="U1376" s="904"/>
      <c r="V1376" s="904"/>
      <c r="W1376" s="904"/>
      <c r="X1376" s="904"/>
      <c r="Y1376" s="904"/>
    </row>
    <row r="1377" spans="1:25" x14ac:dyDescent="0.2">
      <c r="A1377" s="903"/>
      <c r="B1377" s="903"/>
      <c r="C1377" s="903"/>
      <c r="D1377" s="903"/>
      <c r="E1377" s="903"/>
      <c r="R1377" s="904"/>
      <c r="S1377" s="904"/>
      <c r="T1377" s="904"/>
      <c r="U1377" s="904"/>
      <c r="V1377" s="904"/>
      <c r="W1377" s="904"/>
      <c r="X1377" s="904"/>
      <c r="Y1377" s="904"/>
    </row>
    <row r="1378" spans="1:25" x14ac:dyDescent="0.2">
      <c r="A1378" s="903"/>
      <c r="B1378" s="903"/>
      <c r="C1378" s="903"/>
      <c r="D1378" s="903"/>
      <c r="E1378" s="903"/>
      <c r="R1378" s="904"/>
      <c r="S1378" s="904"/>
      <c r="T1378" s="904"/>
      <c r="U1378" s="904"/>
      <c r="V1378" s="904"/>
      <c r="W1378" s="904"/>
      <c r="X1378" s="904"/>
      <c r="Y1378" s="904"/>
    </row>
    <row r="1379" spans="1:25" x14ac:dyDescent="0.2">
      <c r="A1379" s="903"/>
      <c r="B1379" s="903"/>
      <c r="C1379" s="903"/>
      <c r="D1379" s="903"/>
      <c r="E1379" s="903"/>
      <c r="R1379" s="904"/>
      <c r="S1379" s="904"/>
      <c r="T1379" s="904"/>
      <c r="U1379" s="904"/>
      <c r="V1379" s="904"/>
      <c r="W1379" s="904"/>
      <c r="X1379" s="904"/>
      <c r="Y1379" s="904"/>
    </row>
    <row r="1380" spans="1:25" x14ac:dyDescent="0.2">
      <c r="A1380" s="903"/>
      <c r="B1380" s="903"/>
      <c r="C1380" s="903"/>
      <c r="D1380" s="903"/>
      <c r="E1380" s="903"/>
      <c r="R1380" s="904"/>
      <c r="S1380" s="904"/>
      <c r="T1380" s="904"/>
      <c r="U1380" s="904"/>
      <c r="V1380" s="904"/>
      <c r="W1380" s="904"/>
      <c r="X1380" s="904"/>
      <c r="Y1380" s="904"/>
    </row>
    <row r="1381" spans="1:25" x14ac:dyDescent="0.2">
      <c r="A1381" s="903"/>
      <c r="B1381" s="903"/>
      <c r="C1381" s="903"/>
      <c r="D1381" s="903"/>
      <c r="E1381" s="903"/>
      <c r="R1381" s="904"/>
      <c r="S1381" s="904"/>
      <c r="T1381" s="904"/>
      <c r="U1381" s="904"/>
      <c r="V1381" s="904"/>
      <c r="W1381" s="904"/>
      <c r="X1381" s="904"/>
      <c r="Y1381" s="904"/>
    </row>
    <row r="1382" spans="1:25" x14ac:dyDescent="0.2">
      <c r="A1382" s="903"/>
      <c r="B1382" s="903"/>
      <c r="C1382" s="903"/>
      <c r="D1382" s="903"/>
      <c r="E1382" s="903"/>
      <c r="R1382" s="904"/>
      <c r="S1382" s="904"/>
      <c r="T1382" s="904"/>
      <c r="U1382" s="904"/>
      <c r="V1382" s="904"/>
      <c r="W1382" s="904"/>
      <c r="X1382" s="904"/>
      <c r="Y1382" s="904"/>
    </row>
    <row r="1383" spans="1:25" x14ac:dyDescent="0.2">
      <c r="A1383" s="903"/>
      <c r="B1383" s="903"/>
      <c r="C1383" s="903"/>
      <c r="D1383" s="903"/>
      <c r="E1383" s="903"/>
      <c r="R1383" s="904"/>
      <c r="S1383" s="904"/>
      <c r="T1383" s="904"/>
      <c r="U1383" s="904"/>
      <c r="V1383" s="904"/>
      <c r="W1383" s="904"/>
      <c r="X1383" s="904"/>
      <c r="Y1383" s="904"/>
    </row>
    <row r="1384" spans="1:25" x14ac:dyDescent="0.2">
      <c r="A1384" s="903"/>
      <c r="B1384" s="903"/>
      <c r="C1384" s="903"/>
      <c r="D1384" s="903"/>
      <c r="E1384" s="903"/>
      <c r="R1384" s="904"/>
      <c r="S1384" s="904"/>
      <c r="T1384" s="904"/>
      <c r="U1384" s="904"/>
      <c r="V1384" s="904"/>
      <c r="W1384" s="904"/>
      <c r="X1384" s="904"/>
      <c r="Y1384" s="904"/>
    </row>
    <row r="1385" spans="1:25" x14ac:dyDescent="0.2">
      <c r="A1385" s="903"/>
      <c r="B1385" s="903"/>
      <c r="C1385" s="903"/>
      <c r="D1385" s="903"/>
      <c r="E1385" s="903"/>
      <c r="R1385" s="904"/>
      <c r="S1385" s="904"/>
      <c r="T1385" s="904"/>
      <c r="U1385" s="904"/>
      <c r="V1385" s="904"/>
      <c r="W1385" s="904"/>
      <c r="X1385" s="904"/>
      <c r="Y1385" s="904"/>
    </row>
    <row r="1386" spans="1:25" x14ac:dyDescent="0.2">
      <c r="A1386" s="903"/>
      <c r="B1386" s="903"/>
      <c r="C1386" s="903"/>
      <c r="D1386" s="903"/>
      <c r="E1386" s="903"/>
      <c r="R1386" s="904"/>
      <c r="S1386" s="904"/>
      <c r="T1386" s="904"/>
      <c r="U1386" s="904"/>
      <c r="V1386" s="904"/>
      <c r="W1386" s="904"/>
      <c r="X1386" s="904"/>
      <c r="Y1386" s="904"/>
    </row>
    <row r="1387" spans="1:25" x14ac:dyDescent="0.2">
      <c r="A1387" s="903"/>
      <c r="B1387" s="903"/>
      <c r="C1387" s="903"/>
      <c r="D1387" s="903"/>
      <c r="E1387" s="903"/>
      <c r="R1387" s="904"/>
      <c r="S1387" s="904"/>
      <c r="T1387" s="904"/>
      <c r="U1387" s="904"/>
      <c r="V1387" s="904"/>
      <c r="W1387" s="904"/>
      <c r="X1387" s="904"/>
      <c r="Y1387" s="904"/>
    </row>
    <row r="1388" spans="1:25" x14ac:dyDescent="0.2">
      <c r="A1388" s="903"/>
      <c r="B1388" s="903"/>
      <c r="C1388" s="903"/>
      <c r="D1388" s="903"/>
      <c r="E1388" s="903"/>
      <c r="R1388" s="904"/>
      <c r="S1388" s="904"/>
      <c r="T1388" s="904"/>
      <c r="U1388" s="904"/>
      <c r="V1388" s="904"/>
      <c r="W1388" s="904"/>
      <c r="X1388" s="904"/>
      <c r="Y1388" s="904"/>
    </row>
    <row r="1389" spans="1:25" x14ac:dyDescent="0.2">
      <c r="A1389" s="903"/>
      <c r="B1389" s="903"/>
      <c r="C1389" s="903"/>
      <c r="D1389" s="903"/>
      <c r="E1389" s="903"/>
      <c r="R1389" s="904"/>
      <c r="S1389" s="904"/>
      <c r="T1389" s="904"/>
      <c r="U1389" s="904"/>
      <c r="V1389" s="904"/>
      <c r="W1389" s="904"/>
      <c r="X1389" s="904"/>
      <c r="Y1389" s="904"/>
    </row>
    <row r="1390" spans="1:25" x14ac:dyDescent="0.2">
      <c r="A1390" s="903"/>
      <c r="B1390" s="903"/>
      <c r="C1390" s="903"/>
      <c r="D1390" s="903"/>
      <c r="E1390" s="903"/>
      <c r="R1390" s="904"/>
      <c r="S1390" s="904"/>
      <c r="T1390" s="904"/>
      <c r="U1390" s="904"/>
      <c r="V1390" s="904"/>
      <c r="W1390" s="904"/>
      <c r="X1390" s="904"/>
      <c r="Y1390" s="904"/>
    </row>
    <row r="1391" spans="1:25" x14ac:dyDescent="0.2">
      <c r="A1391" s="903"/>
      <c r="B1391" s="903"/>
      <c r="C1391" s="903"/>
      <c r="D1391" s="903"/>
      <c r="E1391" s="903"/>
      <c r="R1391" s="904"/>
      <c r="S1391" s="904"/>
      <c r="T1391" s="904"/>
      <c r="U1391" s="904"/>
      <c r="V1391" s="904"/>
      <c r="W1391" s="904"/>
      <c r="X1391" s="904"/>
      <c r="Y1391" s="904"/>
    </row>
    <row r="1392" spans="1:25" x14ac:dyDescent="0.2">
      <c r="A1392" s="903"/>
      <c r="B1392" s="903"/>
      <c r="C1392" s="903"/>
      <c r="D1392" s="903"/>
      <c r="E1392" s="903"/>
      <c r="R1392" s="904"/>
      <c r="S1392" s="904"/>
      <c r="T1392" s="904"/>
      <c r="U1392" s="904"/>
      <c r="V1392" s="904"/>
      <c r="W1392" s="904"/>
      <c r="X1392" s="904"/>
      <c r="Y1392" s="904"/>
    </row>
    <row r="1393" spans="1:25" x14ac:dyDescent="0.2">
      <c r="A1393" s="903"/>
      <c r="B1393" s="903"/>
      <c r="C1393" s="903"/>
      <c r="D1393" s="903"/>
      <c r="E1393" s="903"/>
      <c r="R1393" s="904"/>
      <c r="S1393" s="904"/>
      <c r="T1393" s="904"/>
      <c r="U1393" s="904"/>
      <c r="V1393" s="904"/>
      <c r="W1393" s="904"/>
      <c r="X1393" s="904"/>
      <c r="Y1393" s="904"/>
    </row>
    <row r="1394" spans="1:25" x14ac:dyDescent="0.2">
      <c r="A1394" s="903"/>
      <c r="B1394" s="903"/>
      <c r="C1394" s="903"/>
      <c r="D1394" s="903"/>
      <c r="E1394" s="903"/>
      <c r="R1394" s="904"/>
      <c r="S1394" s="904"/>
      <c r="T1394" s="904"/>
      <c r="U1394" s="904"/>
      <c r="V1394" s="904"/>
      <c r="W1394" s="904"/>
      <c r="X1394" s="904"/>
      <c r="Y1394" s="904"/>
    </row>
    <row r="1395" spans="1:25" x14ac:dyDescent="0.2">
      <c r="A1395" s="903"/>
      <c r="B1395" s="903"/>
      <c r="C1395" s="903"/>
      <c r="D1395" s="903"/>
      <c r="E1395" s="903"/>
      <c r="R1395" s="904"/>
      <c r="S1395" s="904"/>
      <c r="T1395" s="904"/>
      <c r="U1395" s="904"/>
      <c r="V1395" s="904"/>
      <c r="W1395" s="904"/>
      <c r="X1395" s="904"/>
      <c r="Y1395" s="904"/>
    </row>
    <row r="1396" spans="1:25" x14ac:dyDescent="0.2">
      <c r="A1396" s="903"/>
      <c r="B1396" s="903"/>
      <c r="C1396" s="903"/>
      <c r="D1396" s="903"/>
      <c r="E1396" s="903"/>
      <c r="R1396" s="904"/>
      <c r="S1396" s="904"/>
      <c r="T1396" s="904"/>
      <c r="U1396" s="904"/>
      <c r="V1396" s="904"/>
      <c r="W1396" s="904"/>
      <c r="X1396" s="904"/>
      <c r="Y1396" s="904"/>
    </row>
    <row r="1397" spans="1:25" x14ac:dyDescent="0.2">
      <c r="A1397" s="903"/>
      <c r="B1397" s="903"/>
      <c r="C1397" s="903"/>
      <c r="D1397" s="903"/>
      <c r="E1397" s="903"/>
      <c r="R1397" s="904"/>
      <c r="S1397" s="904"/>
      <c r="T1397" s="904"/>
      <c r="U1397" s="904"/>
      <c r="V1397" s="904"/>
      <c r="W1397" s="904"/>
      <c r="X1397" s="904"/>
      <c r="Y1397" s="904"/>
    </row>
    <row r="1398" spans="1:25" x14ac:dyDescent="0.2">
      <c r="A1398" s="903"/>
      <c r="B1398" s="903"/>
      <c r="C1398" s="903"/>
      <c r="D1398" s="903"/>
      <c r="E1398" s="903"/>
      <c r="R1398" s="904"/>
      <c r="S1398" s="904"/>
      <c r="T1398" s="904"/>
      <c r="U1398" s="904"/>
      <c r="V1398" s="904"/>
      <c r="W1398" s="904"/>
      <c r="X1398" s="904"/>
      <c r="Y1398" s="904"/>
    </row>
    <row r="1399" spans="1:25" x14ac:dyDescent="0.2">
      <c r="A1399" s="903"/>
      <c r="B1399" s="903"/>
      <c r="C1399" s="903"/>
      <c r="D1399" s="903"/>
      <c r="E1399" s="903"/>
      <c r="R1399" s="904"/>
      <c r="S1399" s="904"/>
      <c r="T1399" s="904"/>
      <c r="U1399" s="904"/>
      <c r="V1399" s="904"/>
      <c r="W1399" s="904"/>
      <c r="X1399" s="904"/>
      <c r="Y1399" s="904"/>
    </row>
    <row r="1400" spans="1:25" x14ac:dyDescent="0.2">
      <c r="A1400" s="903"/>
      <c r="B1400" s="903"/>
      <c r="C1400" s="903"/>
      <c r="D1400" s="903"/>
      <c r="E1400" s="903"/>
      <c r="R1400" s="904"/>
      <c r="S1400" s="904"/>
      <c r="T1400" s="904"/>
      <c r="U1400" s="904"/>
      <c r="V1400" s="904"/>
      <c r="W1400" s="904"/>
      <c r="X1400" s="904"/>
      <c r="Y1400" s="904"/>
    </row>
    <row r="1401" spans="1:25" x14ac:dyDescent="0.2">
      <c r="A1401" s="903"/>
      <c r="B1401" s="903"/>
      <c r="C1401" s="903"/>
      <c r="D1401" s="903"/>
      <c r="E1401" s="903"/>
      <c r="R1401" s="904"/>
      <c r="S1401" s="904"/>
      <c r="T1401" s="904"/>
      <c r="U1401" s="904"/>
      <c r="V1401" s="904"/>
      <c r="W1401" s="904"/>
      <c r="X1401" s="904"/>
      <c r="Y1401" s="904"/>
    </row>
    <row r="1402" spans="1:25" x14ac:dyDescent="0.2">
      <c r="A1402" s="903"/>
      <c r="B1402" s="903"/>
      <c r="C1402" s="903"/>
      <c r="D1402" s="903"/>
      <c r="E1402" s="903"/>
      <c r="R1402" s="904"/>
      <c r="S1402" s="904"/>
      <c r="T1402" s="904"/>
      <c r="U1402" s="904"/>
      <c r="V1402" s="904"/>
      <c r="W1402" s="904"/>
      <c r="X1402" s="904"/>
      <c r="Y1402" s="904"/>
    </row>
    <row r="1403" spans="1:25" x14ac:dyDescent="0.2">
      <c r="A1403" s="903"/>
      <c r="B1403" s="903"/>
      <c r="C1403" s="903"/>
      <c r="D1403" s="903"/>
      <c r="E1403" s="903"/>
      <c r="R1403" s="904"/>
      <c r="S1403" s="904"/>
      <c r="T1403" s="904"/>
      <c r="U1403" s="904"/>
      <c r="V1403" s="904"/>
      <c r="W1403" s="904"/>
      <c r="X1403" s="904"/>
      <c r="Y1403" s="904"/>
    </row>
    <row r="1404" spans="1:25" x14ac:dyDescent="0.2">
      <c r="A1404" s="903"/>
      <c r="B1404" s="903"/>
      <c r="C1404" s="903"/>
      <c r="D1404" s="903"/>
      <c r="E1404" s="903"/>
      <c r="R1404" s="904"/>
      <c r="S1404" s="904"/>
      <c r="T1404" s="904"/>
      <c r="U1404" s="904"/>
      <c r="V1404" s="904"/>
      <c r="W1404" s="904"/>
      <c r="X1404" s="904"/>
      <c r="Y1404" s="904"/>
    </row>
    <row r="1405" spans="1:25" x14ac:dyDescent="0.2">
      <c r="A1405" s="903"/>
      <c r="B1405" s="903"/>
      <c r="C1405" s="903"/>
      <c r="D1405" s="903"/>
      <c r="E1405" s="903"/>
      <c r="R1405" s="904"/>
      <c r="S1405" s="904"/>
      <c r="T1405" s="904"/>
      <c r="U1405" s="904"/>
      <c r="V1405" s="904"/>
      <c r="W1405" s="904"/>
      <c r="X1405" s="904"/>
      <c r="Y1405" s="904"/>
    </row>
    <row r="1406" spans="1:25" x14ac:dyDescent="0.2">
      <c r="A1406" s="903"/>
      <c r="B1406" s="903"/>
      <c r="C1406" s="903"/>
      <c r="D1406" s="903"/>
      <c r="E1406" s="903"/>
      <c r="R1406" s="904"/>
      <c r="S1406" s="904"/>
      <c r="T1406" s="904"/>
      <c r="U1406" s="904"/>
      <c r="V1406" s="904"/>
      <c r="W1406" s="904"/>
      <c r="X1406" s="904"/>
      <c r="Y1406" s="904"/>
    </row>
    <row r="1407" spans="1:25" x14ac:dyDescent="0.2">
      <c r="A1407" s="903"/>
      <c r="B1407" s="903"/>
      <c r="C1407" s="903"/>
      <c r="D1407" s="903"/>
      <c r="E1407" s="903"/>
      <c r="R1407" s="904"/>
      <c r="S1407" s="904"/>
      <c r="T1407" s="904"/>
      <c r="U1407" s="904"/>
      <c r="V1407" s="904"/>
      <c r="W1407" s="904"/>
      <c r="X1407" s="904"/>
      <c r="Y1407" s="904"/>
    </row>
    <row r="1408" spans="1:25" x14ac:dyDescent="0.2">
      <c r="A1408" s="903"/>
      <c r="B1408" s="903"/>
      <c r="C1408" s="903"/>
      <c r="D1408" s="903"/>
      <c r="E1408" s="903"/>
      <c r="R1408" s="904"/>
      <c r="S1408" s="904"/>
      <c r="T1408" s="904"/>
      <c r="U1408" s="904"/>
      <c r="V1408" s="904"/>
      <c r="W1408" s="904"/>
      <c r="X1408" s="904"/>
      <c r="Y1408" s="904"/>
    </row>
    <row r="1409" spans="1:25" x14ac:dyDescent="0.2">
      <c r="A1409" s="903"/>
      <c r="B1409" s="903"/>
      <c r="C1409" s="903"/>
      <c r="D1409" s="903"/>
      <c r="E1409" s="903"/>
      <c r="R1409" s="904"/>
      <c r="S1409" s="904"/>
      <c r="T1409" s="904"/>
      <c r="U1409" s="904"/>
      <c r="V1409" s="904"/>
      <c r="W1409" s="904"/>
      <c r="X1409" s="904"/>
      <c r="Y1409" s="904"/>
    </row>
    <row r="1410" spans="1:25" x14ac:dyDescent="0.2">
      <c r="A1410" s="903"/>
      <c r="B1410" s="903"/>
      <c r="C1410" s="903"/>
      <c r="D1410" s="903"/>
      <c r="E1410" s="903"/>
      <c r="R1410" s="904"/>
      <c r="S1410" s="904"/>
      <c r="T1410" s="904"/>
      <c r="U1410" s="904"/>
      <c r="V1410" s="904"/>
      <c r="W1410" s="904"/>
      <c r="X1410" s="904"/>
      <c r="Y1410" s="904"/>
    </row>
    <row r="1411" spans="1:25" x14ac:dyDescent="0.2">
      <c r="A1411" s="903"/>
      <c r="B1411" s="903"/>
      <c r="C1411" s="903"/>
      <c r="D1411" s="903"/>
      <c r="E1411" s="903"/>
      <c r="R1411" s="904"/>
      <c r="S1411" s="904"/>
      <c r="T1411" s="904"/>
      <c r="U1411" s="904"/>
      <c r="V1411" s="904"/>
      <c r="W1411" s="904"/>
      <c r="X1411" s="904"/>
      <c r="Y1411" s="904"/>
    </row>
    <row r="1412" spans="1:25" x14ac:dyDescent="0.2">
      <c r="A1412" s="903"/>
      <c r="B1412" s="903"/>
      <c r="C1412" s="903"/>
      <c r="D1412" s="903"/>
      <c r="E1412" s="903"/>
      <c r="R1412" s="904"/>
      <c r="S1412" s="904"/>
      <c r="T1412" s="904"/>
      <c r="U1412" s="904"/>
      <c r="V1412" s="904"/>
      <c r="W1412" s="904"/>
      <c r="X1412" s="904"/>
      <c r="Y1412" s="904"/>
    </row>
    <row r="1413" spans="1:25" x14ac:dyDescent="0.2">
      <c r="A1413" s="903"/>
      <c r="B1413" s="903"/>
      <c r="C1413" s="903"/>
      <c r="D1413" s="903"/>
      <c r="E1413" s="903"/>
      <c r="R1413" s="904"/>
      <c r="S1413" s="904"/>
      <c r="T1413" s="904"/>
      <c r="U1413" s="904"/>
      <c r="V1413" s="904"/>
      <c r="W1413" s="904"/>
      <c r="X1413" s="904"/>
      <c r="Y1413" s="904"/>
    </row>
    <row r="1414" spans="1:25" x14ac:dyDescent="0.2">
      <c r="A1414" s="903"/>
      <c r="B1414" s="903"/>
      <c r="C1414" s="903"/>
      <c r="D1414" s="903"/>
      <c r="E1414" s="903"/>
      <c r="R1414" s="904"/>
      <c r="S1414" s="904"/>
      <c r="T1414" s="904"/>
      <c r="U1414" s="904"/>
      <c r="V1414" s="904"/>
      <c r="W1414" s="904"/>
      <c r="X1414" s="904"/>
      <c r="Y1414" s="904"/>
    </row>
    <row r="1415" spans="1:25" x14ac:dyDescent="0.2">
      <c r="A1415" s="903"/>
      <c r="B1415" s="903"/>
      <c r="C1415" s="903"/>
      <c r="D1415" s="903"/>
      <c r="E1415" s="903"/>
      <c r="R1415" s="904"/>
      <c r="S1415" s="904"/>
      <c r="T1415" s="904"/>
      <c r="U1415" s="904"/>
      <c r="V1415" s="904"/>
      <c r="W1415" s="904"/>
      <c r="X1415" s="904"/>
      <c r="Y1415" s="904"/>
    </row>
    <row r="1416" spans="1:25" x14ac:dyDescent="0.2">
      <c r="A1416" s="903"/>
      <c r="B1416" s="903"/>
      <c r="C1416" s="903"/>
      <c r="D1416" s="903"/>
      <c r="E1416" s="903"/>
      <c r="R1416" s="904"/>
      <c r="S1416" s="904"/>
      <c r="T1416" s="904"/>
      <c r="U1416" s="904"/>
      <c r="V1416" s="904"/>
      <c r="W1416" s="904"/>
      <c r="X1416" s="904"/>
      <c r="Y1416" s="904"/>
    </row>
    <row r="1417" spans="1:25" x14ac:dyDescent="0.2">
      <c r="A1417" s="903"/>
      <c r="B1417" s="903"/>
      <c r="C1417" s="903"/>
      <c r="D1417" s="903"/>
      <c r="E1417" s="903"/>
      <c r="R1417" s="904"/>
      <c r="S1417" s="904"/>
      <c r="T1417" s="904"/>
      <c r="U1417" s="904"/>
      <c r="V1417" s="904"/>
      <c r="W1417" s="904"/>
      <c r="X1417" s="904"/>
      <c r="Y1417" s="904"/>
    </row>
    <row r="1418" spans="1:25" x14ac:dyDescent="0.2">
      <c r="A1418" s="903"/>
      <c r="B1418" s="903"/>
      <c r="C1418" s="903"/>
      <c r="D1418" s="903"/>
      <c r="E1418" s="903"/>
      <c r="R1418" s="904"/>
      <c r="S1418" s="904"/>
      <c r="T1418" s="904"/>
      <c r="U1418" s="904"/>
      <c r="V1418" s="904"/>
      <c r="W1418" s="904"/>
      <c r="X1418" s="904"/>
      <c r="Y1418" s="904"/>
    </row>
    <row r="1419" spans="1:25" x14ac:dyDescent="0.2">
      <c r="A1419" s="903"/>
      <c r="B1419" s="903"/>
      <c r="C1419" s="903"/>
      <c r="D1419" s="903"/>
      <c r="E1419" s="903"/>
      <c r="R1419" s="904"/>
      <c r="S1419" s="904"/>
      <c r="T1419" s="904"/>
      <c r="U1419" s="904"/>
      <c r="V1419" s="904"/>
      <c r="W1419" s="904"/>
      <c r="X1419" s="904"/>
      <c r="Y1419" s="904"/>
    </row>
    <row r="1420" spans="1:25" x14ac:dyDescent="0.2">
      <c r="A1420" s="903"/>
      <c r="B1420" s="903"/>
      <c r="C1420" s="903"/>
      <c r="D1420" s="903"/>
      <c r="E1420" s="903"/>
      <c r="R1420" s="904"/>
      <c r="S1420" s="904"/>
      <c r="T1420" s="904"/>
      <c r="U1420" s="904"/>
      <c r="V1420" s="904"/>
      <c r="W1420" s="904"/>
      <c r="X1420" s="904"/>
      <c r="Y1420" s="904"/>
    </row>
    <row r="1421" spans="1:25" x14ac:dyDescent="0.2">
      <c r="A1421" s="903"/>
      <c r="B1421" s="903"/>
      <c r="C1421" s="903"/>
      <c r="D1421" s="903"/>
      <c r="E1421" s="903"/>
      <c r="R1421" s="904"/>
      <c r="S1421" s="904"/>
      <c r="T1421" s="904"/>
      <c r="U1421" s="904"/>
      <c r="V1421" s="904"/>
      <c r="W1421" s="904"/>
      <c r="X1421" s="904"/>
      <c r="Y1421" s="904"/>
    </row>
    <row r="1422" spans="1:25" x14ac:dyDescent="0.2">
      <c r="A1422" s="903"/>
      <c r="B1422" s="903"/>
      <c r="C1422" s="903"/>
      <c r="D1422" s="903"/>
      <c r="E1422" s="903"/>
      <c r="R1422" s="904"/>
      <c r="S1422" s="904"/>
      <c r="T1422" s="904"/>
      <c r="U1422" s="904"/>
      <c r="V1422" s="904"/>
      <c r="W1422" s="904"/>
      <c r="X1422" s="904"/>
      <c r="Y1422" s="904"/>
    </row>
    <row r="1423" spans="1:25" x14ac:dyDescent="0.2">
      <c r="A1423" s="903"/>
      <c r="B1423" s="903"/>
      <c r="C1423" s="903"/>
      <c r="D1423" s="903"/>
      <c r="E1423" s="903"/>
      <c r="R1423" s="904"/>
      <c r="S1423" s="904"/>
      <c r="T1423" s="904"/>
      <c r="U1423" s="904"/>
      <c r="V1423" s="904"/>
      <c r="W1423" s="904"/>
      <c r="X1423" s="904"/>
      <c r="Y1423" s="904"/>
    </row>
    <row r="1424" spans="1:25" x14ac:dyDescent="0.2">
      <c r="A1424" s="903"/>
      <c r="B1424" s="903"/>
      <c r="C1424" s="903"/>
      <c r="D1424" s="903"/>
      <c r="E1424" s="903"/>
      <c r="R1424" s="904"/>
      <c r="S1424" s="904"/>
      <c r="T1424" s="904"/>
      <c r="U1424" s="904"/>
      <c r="V1424" s="904"/>
      <c r="W1424" s="904"/>
      <c r="X1424" s="904"/>
      <c r="Y1424" s="904"/>
    </row>
    <row r="1425" spans="1:25" x14ac:dyDescent="0.2">
      <c r="A1425" s="903"/>
      <c r="B1425" s="903"/>
      <c r="C1425" s="903"/>
      <c r="D1425" s="903"/>
      <c r="E1425" s="903"/>
      <c r="R1425" s="904"/>
      <c r="S1425" s="904"/>
      <c r="T1425" s="904"/>
      <c r="U1425" s="904"/>
      <c r="V1425" s="904"/>
      <c r="W1425" s="904"/>
      <c r="X1425" s="904"/>
      <c r="Y1425" s="904"/>
    </row>
    <row r="1426" spans="1:25" x14ac:dyDescent="0.2">
      <c r="A1426" s="903"/>
      <c r="B1426" s="903"/>
      <c r="C1426" s="903"/>
      <c r="D1426" s="903"/>
      <c r="E1426" s="903"/>
      <c r="R1426" s="904"/>
      <c r="S1426" s="904"/>
      <c r="T1426" s="904"/>
      <c r="U1426" s="904"/>
      <c r="V1426" s="904"/>
      <c r="W1426" s="904"/>
      <c r="X1426" s="904"/>
      <c r="Y1426" s="904"/>
    </row>
    <row r="1427" spans="1:25" x14ac:dyDescent="0.2">
      <c r="A1427" s="903"/>
      <c r="B1427" s="903"/>
      <c r="C1427" s="903"/>
      <c r="D1427" s="903"/>
      <c r="E1427" s="903"/>
      <c r="R1427" s="904"/>
      <c r="S1427" s="904"/>
      <c r="T1427" s="904"/>
      <c r="U1427" s="904"/>
      <c r="V1427" s="904"/>
      <c r="W1427" s="904"/>
      <c r="X1427" s="904"/>
      <c r="Y1427" s="904"/>
    </row>
    <row r="1428" spans="1:25" x14ac:dyDescent="0.2">
      <c r="A1428" s="903"/>
      <c r="B1428" s="903"/>
      <c r="C1428" s="903"/>
      <c r="D1428" s="903"/>
      <c r="E1428" s="903"/>
      <c r="R1428" s="904"/>
      <c r="S1428" s="904"/>
      <c r="T1428" s="904"/>
      <c r="U1428" s="904"/>
      <c r="V1428" s="904"/>
      <c r="W1428" s="904"/>
      <c r="X1428" s="904"/>
      <c r="Y1428" s="904"/>
    </row>
    <row r="1429" spans="1:25" x14ac:dyDescent="0.2">
      <c r="A1429" s="903"/>
      <c r="B1429" s="903"/>
      <c r="C1429" s="903"/>
      <c r="D1429" s="903"/>
      <c r="E1429" s="903"/>
      <c r="R1429" s="904"/>
      <c r="S1429" s="904"/>
      <c r="T1429" s="904"/>
      <c r="U1429" s="904"/>
      <c r="V1429" s="904"/>
      <c r="W1429" s="904"/>
      <c r="X1429" s="904"/>
      <c r="Y1429" s="904"/>
    </row>
    <row r="1430" spans="1:25" x14ac:dyDescent="0.2">
      <c r="A1430" s="903"/>
      <c r="B1430" s="903"/>
      <c r="C1430" s="903"/>
      <c r="D1430" s="903"/>
      <c r="E1430" s="903"/>
      <c r="R1430" s="904"/>
      <c r="S1430" s="904"/>
      <c r="T1430" s="904"/>
      <c r="U1430" s="904"/>
      <c r="V1430" s="904"/>
      <c r="W1430" s="904"/>
      <c r="X1430" s="904"/>
      <c r="Y1430" s="904"/>
    </row>
    <row r="1431" spans="1:25" x14ac:dyDescent="0.2">
      <c r="A1431" s="903"/>
      <c r="B1431" s="903"/>
      <c r="C1431" s="903"/>
      <c r="D1431" s="903"/>
      <c r="E1431" s="903"/>
      <c r="R1431" s="904"/>
      <c r="S1431" s="904"/>
      <c r="T1431" s="904"/>
      <c r="U1431" s="904"/>
      <c r="V1431" s="904"/>
      <c r="W1431" s="904"/>
      <c r="X1431" s="904"/>
      <c r="Y1431" s="904"/>
    </row>
    <row r="1432" spans="1:25" x14ac:dyDescent="0.2">
      <c r="A1432" s="903"/>
      <c r="B1432" s="903"/>
      <c r="C1432" s="903"/>
      <c r="D1432" s="903"/>
      <c r="E1432" s="903"/>
      <c r="R1432" s="904"/>
      <c r="S1432" s="904"/>
      <c r="T1432" s="904"/>
      <c r="U1432" s="904"/>
      <c r="V1432" s="904"/>
      <c r="W1432" s="904"/>
      <c r="X1432" s="904"/>
      <c r="Y1432" s="904"/>
    </row>
    <row r="1433" spans="1:25" x14ac:dyDescent="0.2">
      <c r="A1433" s="903"/>
      <c r="B1433" s="903"/>
      <c r="C1433" s="903"/>
      <c r="D1433" s="903"/>
      <c r="E1433" s="903"/>
      <c r="R1433" s="904"/>
      <c r="S1433" s="904"/>
      <c r="T1433" s="904"/>
      <c r="U1433" s="904"/>
      <c r="V1433" s="904"/>
      <c r="W1433" s="904"/>
      <c r="X1433" s="904"/>
      <c r="Y1433" s="904"/>
    </row>
    <row r="1434" spans="1:25" x14ac:dyDescent="0.2">
      <c r="A1434" s="903"/>
      <c r="B1434" s="903"/>
      <c r="C1434" s="903"/>
      <c r="D1434" s="903"/>
      <c r="E1434" s="903"/>
      <c r="R1434" s="904"/>
      <c r="S1434" s="904"/>
      <c r="T1434" s="904"/>
      <c r="U1434" s="904"/>
      <c r="V1434" s="904"/>
      <c r="W1434" s="904"/>
      <c r="X1434" s="904"/>
      <c r="Y1434" s="904"/>
    </row>
    <row r="1435" spans="1:25" x14ac:dyDescent="0.2">
      <c r="A1435" s="903"/>
      <c r="B1435" s="903"/>
      <c r="C1435" s="903"/>
      <c r="D1435" s="903"/>
      <c r="E1435" s="903"/>
      <c r="R1435" s="904"/>
      <c r="S1435" s="904"/>
      <c r="T1435" s="904"/>
      <c r="U1435" s="904"/>
      <c r="V1435" s="904"/>
      <c r="W1435" s="904"/>
      <c r="X1435" s="904"/>
      <c r="Y1435" s="904"/>
    </row>
    <row r="1436" spans="1:25" x14ac:dyDescent="0.2">
      <c r="A1436" s="903"/>
      <c r="B1436" s="903"/>
      <c r="C1436" s="903"/>
      <c r="D1436" s="903"/>
      <c r="E1436" s="903"/>
      <c r="R1436" s="904"/>
      <c r="S1436" s="904"/>
      <c r="T1436" s="904"/>
      <c r="U1436" s="904"/>
      <c r="V1436" s="904"/>
      <c r="W1436" s="904"/>
      <c r="X1436" s="904"/>
      <c r="Y1436" s="904"/>
    </row>
    <row r="1437" spans="1:25" x14ac:dyDescent="0.2">
      <c r="A1437" s="903"/>
      <c r="B1437" s="903"/>
      <c r="C1437" s="903"/>
      <c r="D1437" s="903"/>
      <c r="E1437" s="903"/>
      <c r="R1437" s="904"/>
      <c r="S1437" s="904"/>
      <c r="T1437" s="904"/>
      <c r="U1437" s="904"/>
      <c r="V1437" s="904"/>
      <c r="W1437" s="904"/>
      <c r="X1437" s="904"/>
      <c r="Y1437" s="904"/>
    </row>
    <row r="1438" spans="1:25" x14ac:dyDescent="0.2">
      <c r="A1438" s="903"/>
      <c r="B1438" s="903"/>
      <c r="C1438" s="903"/>
      <c r="D1438" s="903"/>
      <c r="E1438" s="903"/>
      <c r="R1438" s="904"/>
      <c r="S1438" s="904"/>
      <c r="T1438" s="904"/>
      <c r="U1438" s="904"/>
      <c r="V1438" s="904"/>
      <c r="W1438" s="904"/>
      <c r="X1438" s="904"/>
      <c r="Y1438" s="904"/>
    </row>
    <row r="1439" spans="1:25" x14ac:dyDescent="0.2">
      <c r="A1439" s="903"/>
      <c r="B1439" s="903"/>
      <c r="C1439" s="903"/>
      <c r="D1439" s="903"/>
      <c r="E1439" s="903"/>
      <c r="R1439" s="904"/>
      <c r="S1439" s="904"/>
      <c r="T1439" s="904"/>
      <c r="U1439" s="904"/>
      <c r="V1439" s="904"/>
      <c r="W1439" s="904"/>
      <c r="X1439" s="904"/>
      <c r="Y1439" s="904"/>
    </row>
    <row r="1440" spans="1:25" x14ac:dyDescent="0.2">
      <c r="A1440" s="903"/>
      <c r="B1440" s="903"/>
      <c r="C1440" s="903"/>
      <c r="D1440" s="903"/>
      <c r="E1440" s="903"/>
      <c r="R1440" s="904"/>
      <c r="S1440" s="904"/>
      <c r="T1440" s="904"/>
      <c r="U1440" s="904"/>
      <c r="V1440" s="904"/>
      <c r="W1440" s="904"/>
      <c r="X1440" s="904"/>
      <c r="Y1440" s="904"/>
    </row>
    <row r="1441" spans="1:25" x14ac:dyDescent="0.2">
      <c r="A1441" s="903"/>
      <c r="B1441" s="903"/>
      <c r="C1441" s="903"/>
      <c r="D1441" s="903"/>
      <c r="E1441" s="903"/>
      <c r="R1441" s="904"/>
      <c r="S1441" s="904"/>
      <c r="T1441" s="904"/>
      <c r="U1441" s="904"/>
      <c r="V1441" s="904"/>
      <c r="W1441" s="904"/>
      <c r="X1441" s="904"/>
      <c r="Y1441" s="904"/>
    </row>
    <row r="1442" spans="1:25" x14ac:dyDescent="0.2">
      <c r="A1442" s="903"/>
      <c r="B1442" s="903"/>
      <c r="C1442" s="903"/>
      <c r="D1442" s="903"/>
      <c r="E1442" s="903"/>
      <c r="R1442" s="904"/>
      <c r="S1442" s="904"/>
      <c r="T1442" s="904"/>
      <c r="U1442" s="904"/>
      <c r="V1442" s="904"/>
      <c r="W1442" s="904"/>
      <c r="X1442" s="904"/>
      <c r="Y1442" s="904"/>
    </row>
    <row r="1443" spans="1:25" x14ac:dyDescent="0.2">
      <c r="A1443" s="903"/>
      <c r="B1443" s="903"/>
      <c r="C1443" s="903"/>
      <c r="D1443" s="903"/>
      <c r="E1443" s="903"/>
      <c r="R1443" s="904"/>
      <c r="S1443" s="904"/>
      <c r="T1443" s="904"/>
      <c r="U1443" s="904"/>
      <c r="V1443" s="904"/>
      <c r="W1443" s="904"/>
      <c r="X1443" s="904"/>
      <c r="Y1443" s="904"/>
    </row>
    <row r="1444" spans="1:25" x14ac:dyDescent="0.2">
      <c r="A1444" s="903"/>
      <c r="B1444" s="903"/>
      <c r="C1444" s="903"/>
      <c r="D1444" s="903"/>
      <c r="E1444" s="903"/>
      <c r="R1444" s="904"/>
      <c r="S1444" s="904"/>
      <c r="T1444" s="904"/>
      <c r="U1444" s="904"/>
      <c r="V1444" s="904"/>
      <c r="W1444" s="904"/>
      <c r="X1444" s="904"/>
      <c r="Y1444" s="904"/>
    </row>
    <row r="1445" spans="1:25" x14ac:dyDescent="0.2">
      <c r="A1445" s="903"/>
      <c r="B1445" s="903"/>
      <c r="C1445" s="903"/>
      <c r="D1445" s="903"/>
      <c r="E1445" s="903"/>
      <c r="R1445" s="904"/>
      <c r="S1445" s="904"/>
      <c r="T1445" s="904"/>
      <c r="U1445" s="904"/>
      <c r="V1445" s="904"/>
      <c r="W1445" s="904"/>
      <c r="X1445" s="904"/>
      <c r="Y1445" s="904"/>
    </row>
    <row r="1446" spans="1:25" x14ac:dyDescent="0.2">
      <c r="A1446" s="903"/>
      <c r="B1446" s="903"/>
      <c r="C1446" s="903"/>
      <c r="D1446" s="903"/>
      <c r="E1446" s="903"/>
      <c r="R1446" s="904"/>
      <c r="S1446" s="904"/>
      <c r="T1446" s="904"/>
      <c r="U1446" s="904"/>
      <c r="V1446" s="904"/>
      <c r="W1446" s="904"/>
      <c r="X1446" s="904"/>
      <c r="Y1446" s="904"/>
    </row>
    <row r="1447" spans="1:25" x14ac:dyDescent="0.2">
      <c r="A1447" s="903"/>
      <c r="B1447" s="903"/>
      <c r="C1447" s="903"/>
      <c r="D1447" s="903"/>
      <c r="E1447" s="903"/>
      <c r="R1447" s="904"/>
      <c r="S1447" s="904"/>
      <c r="T1447" s="904"/>
      <c r="U1447" s="904"/>
      <c r="V1447" s="904"/>
      <c r="W1447" s="904"/>
      <c r="X1447" s="904"/>
      <c r="Y1447" s="904"/>
    </row>
    <row r="1448" spans="1:25" x14ac:dyDescent="0.2">
      <c r="A1448" s="903"/>
      <c r="B1448" s="903"/>
      <c r="C1448" s="903"/>
      <c r="D1448" s="903"/>
      <c r="E1448" s="903"/>
      <c r="R1448" s="904"/>
      <c r="S1448" s="904"/>
      <c r="T1448" s="904"/>
      <c r="U1448" s="904"/>
      <c r="V1448" s="904"/>
      <c r="W1448" s="904"/>
      <c r="X1448" s="904"/>
      <c r="Y1448" s="904"/>
    </row>
    <row r="1449" spans="1:25" x14ac:dyDescent="0.2">
      <c r="A1449" s="903"/>
      <c r="B1449" s="903"/>
      <c r="C1449" s="903"/>
      <c r="D1449" s="903"/>
      <c r="E1449" s="903"/>
      <c r="R1449" s="904"/>
      <c r="S1449" s="904"/>
      <c r="T1449" s="904"/>
      <c r="U1449" s="904"/>
      <c r="V1449" s="904"/>
      <c r="W1449" s="904"/>
      <c r="X1449" s="904"/>
      <c r="Y1449" s="904"/>
    </row>
    <row r="1450" spans="1:25" x14ac:dyDescent="0.2">
      <c r="A1450" s="903"/>
      <c r="B1450" s="903"/>
      <c r="C1450" s="903"/>
      <c r="D1450" s="903"/>
      <c r="E1450" s="903"/>
      <c r="R1450" s="904"/>
      <c r="S1450" s="904"/>
      <c r="T1450" s="904"/>
      <c r="U1450" s="904"/>
      <c r="V1450" s="904"/>
      <c r="W1450" s="904"/>
      <c r="X1450" s="904"/>
      <c r="Y1450" s="904"/>
    </row>
    <row r="1451" spans="1:25" x14ac:dyDescent="0.2">
      <c r="A1451" s="903"/>
      <c r="B1451" s="903"/>
      <c r="C1451" s="903"/>
      <c r="D1451" s="903"/>
      <c r="E1451" s="903"/>
      <c r="R1451" s="904"/>
      <c r="S1451" s="904"/>
      <c r="T1451" s="904"/>
      <c r="U1451" s="904"/>
      <c r="V1451" s="904"/>
      <c r="W1451" s="904"/>
      <c r="X1451" s="904"/>
      <c r="Y1451" s="904"/>
    </row>
    <row r="1452" spans="1:25" x14ac:dyDescent="0.2">
      <c r="A1452" s="903"/>
      <c r="B1452" s="903"/>
      <c r="C1452" s="903"/>
      <c r="D1452" s="903"/>
      <c r="E1452" s="903"/>
      <c r="R1452" s="904"/>
      <c r="S1452" s="904"/>
      <c r="T1452" s="904"/>
      <c r="U1452" s="904"/>
      <c r="V1452" s="904"/>
      <c r="W1452" s="904"/>
      <c r="X1452" s="904"/>
      <c r="Y1452" s="904"/>
    </row>
    <row r="1453" spans="1:25" x14ac:dyDescent="0.2">
      <c r="A1453" s="903"/>
      <c r="B1453" s="903"/>
      <c r="C1453" s="903"/>
      <c r="D1453" s="903"/>
      <c r="E1453" s="903"/>
      <c r="R1453" s="904"/>
      <c r="S1453" s="904"/>
      <c r="T1453" s="904"/>
      <c r="U1453" s="904"/>
      <c r="V1453" s="904"/>
      <c r="W1453" s="904"/>
      <c r="X1453" s="904"/>
      <c r="Y1453" s="904"/>
    </row>
    <row r="1454" spans="1:25" x14ac:dyDescent="0.2">
      <c r="A1454" s="903"/>
      <c r="B1454" s="903"/>
      <c r="C1454" s="903"/>
      <c r="D1454" s="903"/>
      <c r="E1454" s="903"/>
      <c r="R1454" s="904"/>
      <c r="S1454" s="904"/>
      <c r="T1454" s="904"/>
      <c r="U1454" s="904"/>
      <c r="V1454" s="904"/>
      <c r="W1454" s="904"/>
      <c r="X1454" s="904"/>
      <c r="Y1454" s="904"/>
    </row>
    <row r="1455" spans="1:25" x14ac:dyDescent="0.2">
      <c r="A1455" s="903"/>
      <c r="B1455" s="903"/>
      <c r="C1455" s="903"/>
      <c r="D1455" s="903"/>
      <c r="E1455" s="903"/>
      <c r="R1455" s="904"/>
      <c r="S1455" s="904"/>
      <c r="T1455" s="904"/>
      <c r="U1455" s="904"/>
      <c r="V1455" s="904"/>
      <c r="W1455" s="904"/>
      <c r="X1455" s="904"/>
      <c r="Y1455" s="904"/>
    </row>
    <row r="1456" spans="1:25" x14ac:dyDescent="0.2">
      <c r="A1456" s="903"/>
      <c r="B1456" s="903"/>
      <c r="C1456" s="903"/>
      <c r="D1456" s="903"/>
      <c r="E1456" s="903"/>
      <c r="R1456" s="904"/>
      <c r="S1456" s="904"/>
      <c r="T1456" s="904"/>
      <c r="U1456" s="904"/>
      <c r="V1456" s="904"/>
      <c r="W1456" s="904"/>
      <c r="X1456" s="904"/>
      <c r="Y1456" s="904"/>
    </row>
    <row r="1457" spans="1:25" x14ac:dyDescent="0.2">
      <c r="A1457" s="903"/>
      <c r="B1457" s="903"/>
      <c r="C1457" s="903"/>
      <c r="D1457" s="903"/>
      <c r="E1457" s="903"/>
      <c r="R1457" s="904"/>
      <c r="S1457" s="904"/>
      <c r="T1457" s="904"/>
      <c r="U1457" s="904"/>
      <c r="V1457" s="904"/>
      <c r="W1457" s="904"/>
      <c r="X1457" s="904"/>
      <c r="Y1457" s="904"/>
    </row>
    <row r="1458" spans="1:25" x14ac:dyDescent="0.2">
      <c r="A1458" s="903"/>
      <c r="B1458" s="903"/>
      <c r="C1458" s="903"/>
      <c r="D1458" s="903"/>
      <c r="E1458" s="903"/>
      <c r="R1458" s="904"/>
      <c r="S1458" s="904"/>
      <c r="T1458" s="904"/>
      <c r="U1458" s="904"/>
      <c r="V1458" s="904"/>
      <c r="W1458" s="904"/>
      <c r="X1458" s="904"/>
      <c r="Y1458" s="904"/>
    </row>
    <row r="1459" spans="1:25" x14ac:dyDescent="0.2">
      <c r="A1459" s="903"/>
      <c r="B1459" s="903"/>
      <c r="C1459" s="903"/>
      <c r="D1459" s="903"/>
      <c r="E1459" s="903"/>
      <c r="R1459" s="904"/>
      <c r="S1459" s="904"/>
      <c r="T1459" s="904"/>
      <c r="U1459" s="904"/>
      <c r="V1459" s="904"/>
      <c r="W1459" s="904"/>
      <c r="X1459" s="904"/>
      <c r="Y1459" s="904"/>
    </row>
    <row r="1460" spans="1:25" x14ac:dyDescent="0.2">
      <c r="A1460" s="903"/>
      <c r="B1460" s="903"/>
      <c r="C1460" s="903"/>
      <c r="D1460" s="903"/>
      <c r="E1460" s="903"/>
      <c r="R1460" s="904"/>
      <c r="S1460" s="904"/>
      <c r="T1460" s="904"/>
      <c r="U1460" s="904"/>
      <c r="V1460" s="904"/>
      <c r="W1460" s="904"/>
      <c r="X1460" s="904"/>
      <c r="Y1460" s="904"/>
    </row>
    <row r="1461" spans="1:25" x14ac:dyDescent="0.2">
      <c r="A1461" s="903"/>
      <c r="B1461" s="903"/>
      <c r="C1461" s="903"/>
      <c r="D1461" s="903"/>
      <c r="E1461" s="903"/>
      <c r="R1461" s="904"/>
      <c r="S1461" s="904"/>
      <c r="T1461" s="904"/>
      <c r="U1461" s="904"/>
      <c r="V1461" s="904"/>
      <c r="W1461" s="904"/>
      <c r="X1461" s="904"/>
      <c r="Y1461" s="904"/>
    </row>
    <row r="1462" spans="1:25" x14ac:dyDescent="0.2">
      <c r="A1462" s="903"/>
      <c r="B1462" s="903"/>
      <c r="C1462" s="903"/>
      <c r="D1462" s="903"/>
      <c r="E1462" s="903"/>
      <c r="R1462" s="904"/>
      <c r="S1462" s="904"/>
      <c r="T1462" s="904"/>
      <c r="U1462" s="904"/>
      <c r="V1462" s="904"/>
      <c r="W1462" s="904"/>
      <c r="X1462" s="904"/>
      <c r="Y1462" s="904"/>
    </row>
    <row r="1463" spans="1:25" x14ac:dyDescent="0.2">
      <c r="A1463" s="903"/>
      <c r="B1463" s="903"/>
      <c r="C1463" s="903"/>
      <c r="D1463" s="903"/>
      <c r="E1463" s="903"/>
      <c r="R1463" s="904"/>
      <c r="S1463" s="904"/>
      <c r="T1463" s="904"/>
      <c r="U1463" s="904"/>
      <c r="V1463" s="904"/>
      <c r="W1463" s="904"/>
      <c r="X1463" s="904"/>
      <c r="Y1463" s="904"/>
    </row>
    <row r="1464" spans="1:25" x14ac:dyDescent="0.2">
      <c r="A1464" s="903"/>
      <c r="B1464" s="903"/>
      <c r="C1464" s="903"/>
      <c r="D1464" s="903"/>
      <c r="E1464" s="903"/>
      <c r="R1464" s="904"/>
      <c r="S1464" s="904"/>
      <c r="T1464" s="904"/>
      <c r="U1464" s="904"/>
      <c r="V1464" s="904"/>
      <c r="W1464" s="904"/>
      <c r="X1464" s="904"/>
      <c r="Y1464" s="904"/>
    </row>
    <row r="1465" spans="1:25" x14ac:dyDescent="0.2">
      <c r="A1465" s="903"/>
      <c r="B1465" s="903"/>
      <c r="C1465" s="903"/>
      <c r="D1465" s="903"/>
      <c r="E1465" s="903"/>
      <c r="R1465" s="904"/>
      <c r="S1465" s="904"/>
      <c r="T1465" s="904"/>
      <c r="U1465" s="904"/>
      <c r="V1465" s="904"/>
      <c r="W1465" s="904"/>
      <c r="X1465" s="904"/>
      <c r="Y1465" s="904"/>
    </row>
    <row r="1466" spans="1:25" x14ac:dyDescent="0.2">
      <c r="A1466" s="903"/>
      <c r="B1466" s="903"/>
      <c r="C1466" s="903"/>
      <c r="D1466" s="903"/>
      <c r="E1466" s="903"/>
      <c r="R1466" s="904"/>
      <c r="S1466" s="904"/>
      <c r="T1466" s="904"/>
      <c r="U1466" s="904"/>
      <c r="V1466" s="904"/>
      <c r="W1466" s="904"/>
      <c r="X1466" s="904"/>
      <c r="Y1466" s="904"/>
    </row>
    <row r="1467" spans="1:25" x14ac:dyDescent="0.2">
      <c r="A1467" s="903"/>
      <c r="B1467" s="903"/>
      <c r="C1467" s="903"/>
      <c r="D1467" s="903"/>
      <c r="E1467" s="903"/>
      <c r="R1467" s="904"/>
      <c r="S1467" s="904"/>
      <c r="T1467" s="904"/>
      <c r="U1467" s="904"/>
      <c r="V1467" s="904"/>
      <c r="W1467" s="904"/>
      <c r="X1467" s="904"/>
      <c r="Y1467" s="904"/>
    </row>
    <row r="1468" spans="1:25" x14ac:dyDescent="0.2">
      <c r="A1468" s="903"/>
      <c r="B1468" s="903"/>
      <c r="C1468" s="903"/>
      <c r="D1468" s="903"/>
      <c r="E1468" s="903"/>
      <c r="R1468" s="904"/>
      <c r="S1468" s="904"/>
      <c r="T1468" s="904"/>
      <c r="U1468" s="904"/>
      <c r="V1468" s="904"/>
      <c r="W1468" s="904"/>
      <c r="X1468" s="904"/>
      <c r="Y1468" s="904"/>
    </row>
    <row r="1469" spans="1:25" x14ac:dyDescent="0.2">
      <c r="A1469" s="903"/>
      <c r="B1469" s="903"/>
      <c r="C1469" s="903"/>
      <c r="D1469" s="903"/>
      <c r="E1469" s="903"/>
      <c r="R1469" s="904"/>
      <c r="S1469" s="904"/>
      <c r="T1469" s="904"/>
      <c r="U1469" s="904"/>
      <c r="V1469" s="904"/>
      <c r="W1469" s="904"/>
      <c r="X1469" s="904"/>
      <c r="Y1469" s="904"/>
    </row>
    <row r="1470" spans="1:25" x14ac:dyDescent="0.2">
      <c r="A1470" s="903"/>
      <c r="B1470" s="903"/>
      <c r="C1470" s="903"/>
      <c r="D1470" s="903"/>
      <c r="E1470" s="903"/>
      <c r="R1470" s="904"/>
      <c r="S1470" s="904"/>
      <c r="T1470" s="904"/>
      <c r="U1470" s="904"/>
      <c r="V1470" s="904"/>
      <c r="W1470" s="904"/>
      <c r="X1470" s="904"/>
      <c r="Y1470" s="904"/>
    </row>
    <row r="1471" spans="1:25" x14ac:dyDescent="0.2">
      <c r="A1471" s="903"/>
      <c r="B1471" s="903"/>
      <c r="C1471" s="903"/>
      <c r="D1471" s="903"/>
      <c r="E1471" s="903"/>
      <c r="R1471" s="904"/>
      <c r="S1471" s="904"/>
      <c r="T1471" s="904"/>
      <c r="U1471" s="904"/>
      <c r="V1471" s="904"/>
      <c r="W1471" s="904"/>
      <c r="X1471" s="904"/>
      <c r="Y1471" s="904"/>
    </row>
    <row r="1472" spans="1:25" x14ac:dyDescent="0.2">
      <c r="A1472" s="903"/>
      <c r="B1472" s="903"/>
      <c r="C1472" s="903"/>
      <c r="D1472" s="903"/>
      <c r="E1472" s="903"/>
      <c r="R1472" s="904"/>
      <c r="S1472" s="904"/>
      <c r="T1472" s="904"/>
      <c r="U1472" s="904"/>
      <c r="V1472" s="904"/>
      <c r="W1472" s="904"/>
      <c r="X1472" s="904"/>
      <c r="Y1472" s="904"/>
    </row>
    <row r="1473" spans="1:25" x14ac:dyDescent="0.2">
      <c r="A1473" s="903"/>
      <c r="B1473" s="903"/>
      <c r="C1473" s="903"/>
      <c r="D1473" s="903"/>
      <c r="E1473" s="903"/>
      <c r="R1473" s="904"/>
      <c r="S1473" s="904"/>
      <c r="T1473" s="904"/>
      <c r="U1473" s="904"/>
      <c r="V1473" s="904"/>
      <c r="W1473" s="904"/>
      <c r="X1473" s="904"/>
      <c r="Y1473" s="904"/>
    </row>
    <row r="1474" spans="1:25" x14ac:dyDescent="0.2">
      <c r="A1474" s="903"/>
      <c r="B1474" s="903"/>
      <c r="C1474" s="903"/>
      <c r="D1474" s="903"/>
      <c r="E1474" s="903"/>
      <c r="R1474" s="904"/>
      <c r="S1474" s="904"/>
      <c r="T1474" s="904"/>
      <c r="U1474" s="904"/>
      <c r="V1474" s="904"/>
      <c r="W1474" s="904"/>
      <c r="X1474" s="904"/>
      <c r="Y1474" s="904"/>
    </row>
    <row r="1475" spans="1:25" x14ac:dyDescent="0.2">
      <c r="A1475" s="903"/>
      <c r="B1475" s="903"/>
      <c r="C1475" s="903"/>
      <c r="D1475" s="903"/>
      <c r="E1475" s="903"/>
      <c r="R1475" s="904"/>
      <c r="S1475" s="904"/>
      <c r="T1475" s="904"/>
      <c r="U1475" s="904"/>
      <c r="V1475" s="904"/>
      <c r="W1475" s="904"/>
      <c r="X1475" s="904"/>
      <c r="Y1475" s="904"/>
    </row>
    <row r="1476" spans="1:25" x14ac:dyDescent="0.2">
      <c r="A1476" s="903"/>
      <c r="B1476" s="903"/>
      <c r="C1476" s="903"/>
      <c r="D1476" s="903"/>
      <c r="E1476" s="903"/>
      <c r="R1476" s="904"/>
      <c r="S1476" s="904"/>
      <c r="T1476" s="904"/>
      <c r="U1476" s="904"/>
      <c r="V1476" s="904"/>
      <c r="W1476" s="904"/>
      <c r="X1476" s="904"/>
      <c r="Y1476" s="904"/>
    </row>
    <row r="1477" spans="1:25" x14ac:dyDescent="0.2">
      <c r="A1477" s="903"/>
      <c r="B1477" s="903"/>
      <c r="C1477" s="903"/>
      <c r="D1477" s="903"/>
      <c r="E1477" s="903"/>
      <c r="R1477" s="904"/>
      <c r="S1477" s="904"/>
      <c r="T1477" s="904"/>
      <c r="U1477" s="904"/>
      <c r="V1477" s="904"/>
      <c r="W1477" s="904"/>
      <c r="X1477" s="904"/>
      <c r="Y1477" s="904"/>
    </row>
    <row r="1478" spans="1:25" x14ac:dyDescent="0.2">
      <c r="A1478" s="903"/>
      <c r="B1478" s="903"/>
      <c r="C1478" s="903"/>
      <c r="D1478" s="903"/>
      <c r="E1478" s="903"/>
      <c r="R1478" s="904"/>
      <c r="S1478" s="904"/>
      <c r="T1478" s="904"/>
      <c r="U1478" s="904"/>
      <c r="V1478" s="904"/>
      <c r="W1478" s="904"/>
      <c r="X1478" s="904"/>
      <c r="Y1478" s="904"/>
    </row>
    <row r="1479" spans="1:25" x14ac:dyDescent="0.2">
      <c r="A1479" s="903"/>
      <c r="B1479" s="903"/>
      <c r="C1479" s="903"/>
      <c r="D1479" s="903"/>
      <c r="E1479" s="903"/>
      <c r="R1479" s="904"/>
      <c r="S1479" s="904"/>
      <c r="T1479" s="904"/>
      <c r="U1479" s="904"/>
      <c r="V1479" s="904"/>
      <c r="W1479" s="904"/>
      <c r="X1479" s="904"/>
      <c r="Y1479" s="904"/>
    </row>
    <row r="1480" spans="1:25" x14ac:dyDescent="0.2">
      <c r="A1480" s="903"/>
      <c r="B1480" s="903"/>
      <c r="C1480" s="903"/>
      <c r="D1480" s="903"/>
      <c r="E1480" s="903"/>
      <c r="R1480" s="904"/>
      <c r="S1480" s="904"/>
      <c r="T1480" s="904"/>
      <c r="U1480" s="904"/>
      <c r="V1480" s="904"/>
      <c r="W1480" s="904"/>
      <c r="X1480" s="904"/>
      <c r="Y1480" s="904"/>
    </row>
    <row r="1481" spans="1:25" x14ac:dyDescent="0.2">
      <c r="A1481" s="903"/>
      <c r="B1481" s="903"/>
      <c r="C1481" s="903"/>
      <c r="D1481" s="903"/>
      <c r="E1481" s="903"/>
      <c r="R1481" s="904"/>
      <c r="S1481" s="904"/>
      <c r="T1481" s="904"/>
      <c r="U1481" s="904"/>
      <c r="V1481" s="904"/>
      <c r="W1481" s="904"/>
      <c r="X1481" s="904"/>
      <c r="Y1481" s="904"/>
    </row>
    <row r="1482" spans="1:25" x14ac:dyDescent="0.2">
      <c r="A1482" s="903"/>
      <c r="B1482" s="903"/>
      <c r="C1482" s="903"/>
      <c r="D1482" s="903"/>
      <c r="E1482" s="903"/>
      <c r="R1482" s="904"/>
      <c r="S1482" s="904"/>
      <c r="T1482" s="904"/>
      <c r="U1482" s="904"/>
      <c r="V1482" s="904"/>
      <c r="W1482" s="904"/>
      <c r="X1482" s="904"/>
      <c r="Y1482" s="904"/>
    </row>
    <row r="1483" spans="1:25" x14ac:dyDescent="0.2">
      <c r="A1483" s="903"/>
      <c r="B1483" s="903"/>
      <c r="C1483" s="903"/>
      <c r="D1483" s="903"/>
      <c r="E1483" s="903"/>
      <c r="R1483" s="904"/>
      <c r="S1483" s="904"/>
      <c r="T1483" s="904"/>
      <c r="U1483" s="904"/>
      <c r="V1483" s="904"/>
      <c r="W1483" s="904"/>
      <c r="X1483" s="904"/>
      <c r="Y1483" s="904"/>
    </row>
    <row r="1484" spans="1:25" x14ac:dyDescent="0.2">
      <c r="A1484" s="903"/>
      <c r="B1484" s="903"/>
      <c r="C1484" s="903"/>
      <c r="D1484" s="903"/>
      <c r="E1484" s="903"/>
      <c r="R1484" s="904"/>
      <c r="S1484" s="904"/>
      <c r="T1484" s="904"/>
      <c r="U1484" s="904"/>
      <c r="V1484" s="904"/>
      <c r="W1484" s="904"/>
      <c r="X1484" s="904"/>
      <c r="Y1484" s="904"/>
    </row>
    <row r="1485" spans="1:25" x14ac:dyDescent="0.2">
      <c r="A1485" s="903"/>
      <c r="B1485" s="903"/>
      <c r="C1485" s="903"/>
      <c r="D1485" s="903"/>
      <c r="E1485" s="903"/>
      <c r="R1485" s="904"/>
      <c r="S1485" s="904"/>
      <c r="T1485" s="904"/>
      <c r="U1485" s="904"/>
      <c r="V1485" s="904"/>
      <c r="W1485" s="904"/>
      <c r="X1485" s="904"/>
      <c r="Y1485" s="904"/>
    </row>
    <row r="1486" spans="1:25" x14ac:dyDescent="0.2">
      <c r="A1486" s="903"/>
      <c r="B1486" s="903"/>
      <c r="C1486" s="903"/>
      <c r="D1486" s="903"/>
      <c r="E1486" s="903"/>
      <c r="R1486" s="904"/>
      <c r="S1486" s="904"/>
      <c r="T1486" s="904"/>
      <c r="U1486" s="904"/>
      <c r="V1486" s="904"/>
      <c r="W1486" s="904"/>
      <c r="X1486" s="904"/>
      <c r="Y1486" s="904"/>
    </row>
    <row r="1487" spans="1:25" x14ac:dyDescent="0.2">
      <c r="A1487" s="903"/>
      <c r="B1487" s="903"/>
      <c r="C1487" s="903"/>
      <c r="D1487" s="903"/>
      <c r="E1487" s="903"/>
      <c r="R1487" s="904"/>
      <c r="S1487" s="904"/>
      <c r="T1487" s="904"/>
      <c r="U1487" s="904"/>
      <c r="V1487" s="904"/>
      <c r="W1487" s="904"/>
      <c r="X1487" s="904"/>
      <c r="Y1487" s="904"/>
    </row>
    <row r="1488" spans="1:25" x14ac:dyDescent="0.2">
      <c r="A1488" s="903"/>
      <c r="B1488" s="903"/>
      <c r="C1488" s="903"/>
      <c r="D1488" s="903"/>
      <c r="E1488" s="903"/>
      <c r="R1488" s="904"/>
      <c r="S1488" s="904"/>
      <c r="T1488" s="904"/>
      <c r="U1488" s="904"/>
      <c r="V1488" s="904"/>
      <c r="W1488" s="904"/>
      <c r="X1488" s="904"/>
      <c r="Y1488" s="904"/>
    </row>
    <row r="1489" spans="1:25" x14ac:dyDescent="0.2">
      <c r="A1489" s="903"/>
      <c r="B1489" s="903"/>
      <c r="C1489" s="903"/>
      <c r="D1489" s="903"/>
      <c r="E1489" s="903"/>
      <c r="R1489" s="904"/>
      <c r="S1489" s="904"/>
      <c r="T1489" s="904"/>
      <c r="U1489" s="904"/>
      <c r="V1489" s="904"/>
      <c r="W1489" s="904"/>
      <c r="X1489" s="904"/>
      <c r="Y1489" s="904"/>
    </row>
    <row r="1490" spans="1:25" x14ac:dyDescent="0.2">
      <c r="A1490" s="903"/>
      <c r="B1490" s="903"/>
      <c r="C1490" s="903"/>
      <c r="D1490" s="903"/>
      <c r="E1490" s="903"/>
      <c r="R1490" s="904"/>
      <c r="S1490" s="904"/>
      <c r="T1490" s="904"/>
      <c r="U1490" s="904"/>
      <c r="V1490" s="904"/>
      <c r="W1490" s="904"/>
      <c r="X1490" s="904"/>
      <c r="Y1490" s="904"/>
    </row>
    <row r="1491" spans="1:25" x14ac:dyDescent="0.2">
      <c r="A1491" s="903"/>
      <c r="B1491" s="903"/>
      <c r="C1491" s="903"/>
      <c r="D1491" s="903"/>
      <c r="E1491" s="903"/>
      <c r="R1491" s="904"/>
      <c r="S1491" s="904"/>
      <c r="T1491" s="904"/>
      <c r="U1491" s="904"/>
      <c r="V1491" s="904"/>
      <c r="W1491" s="904"/>
      <c r="X1491" s="904"/>
      <c r="Y1491" s="904"/>
    </row>
    <row r="1492" spans="1:25" x14ac:dyDescent="0.2">
      <c r="A1492" s="903"/>
      <c r="B1492" s="903"/>
      <c r="C1492" s="903"/>
      <c r="D1492" s="903"/>
      <c r="E1492" s="903"/>
      <c r="R1492" s="904"/>
      <c r="S1492" s="904"/>
      <c r="T1492" s="904"/>
      <c r="U1492" s="904"/>
      <c r="V1492" s="904"/>
      <c r="W1492" s="904"/>
      <c r="X1492" s="904"/>
      <c r="Y1492" s="904"/>
    </row>
    <row r="1493" spans="1:25" x14ac:dyDescent="0.2">
      <c r="A1493" s="903"/>
      <c r="B1493" s="903"/>
      <c r="C1493" s="903"/>
      <c r="D1493" s="903"/>
      <c r="E1493" s="903"/>
      <c r="R1493" s="904"/>
      <c r="S1493" s="904"/>
      <c r="T1493" s="904"/>
      <c r="U1493" s="904"/>
      <c r="V1493" s="904"/>
      <c r="W1493" s="904"/>
      <c r="X1493" s="904"/>
      <c r="Y1493" s="904"/>
    </row>
    <row r="1494" spans="1:25" x14ac:dyDescent="0.2">
      <c r="A1494" s="903"/>
      <c r="B1494" s="903"/>
      <c r="C1494" s="903"/>
      <c r="D1494" s="903"/>
      <c r="E1494" s="903"/>
      <c r="R1494" s="904"/>
      <c r="S1494" s="904"/>
      <c r="T1494" s="904"/>
      <c r="U1494" s="904"/>
      <c r="V1494" s="904"/>
      <c r="W1494" s="904"/>
      <c r="X1494" s="904"/>
      <c r="Y1494" s="904"/>
    </row>
    <row r="1495" spans="1:25" x14ac:dyDescent="0.2">
      <c r="A1495" s="903"/>
      <c r="B1495" s="903"/>
      <c r="C1495" s="903"/>
      <c r="D1495" s="903"/>
      <c r="E1495" s="903"/>
      <c r="R1495" s="904"/>
      <c r="S1495" s="904"/>
      <c r="T1495" s="904"/>
      <c r="U1495" s="904"/>
      <c r="V1495" s="904"/>
      <c r="W1495" s="904"/>
      <c r="X1495" s="904"/>
      <c r="Y1495" s="904"/>
    </row>
    <row r="1496" spans="1:25" x14ac:dyDescent="0.2">
      <c r="A1496" s="903"/>
      <c r="B1496" s="903"/>
      <c r="C1496" s="903"/>
      <c r="D1496" s="903"/>
      <c r="E1496" s="903"/>
      <c r="R1496" s="904"/>
      <c r="S1496" s="904"/>
      <c r="T1496" s="904"/>
      <c r="U1496" s="904"/>
      <c r="V1496" s="904"/>
      <c r="W1496" s="904"/>
      <c r="X1496" s="904"/>
      <c r="Y1496" s="904"/>
    </row>
    <row r="1497" spans="1:25" x14ac:dyDescent="0.2">
      <c r="A1497" s="903"/>
      <c r="B1497" s="903"/>
      <c r="C1497" s="903"/>
      <c r="D1497" s="903"/>
      <c r="E1497" s="903"/>
      <c r="R1497" s="904"/>
      <c r="S1497" s="904"/>
      <c r="T1497" s="904"/>
      <c r="U1497" s="904"/>
      <c r="V1497" s="904"/>
      <c r="W1497" s="904"/>
      <c r="X1497" s="904"/>
      <c r="Y1497" s="904"/>
    </row>
    <row r="1498" spans="1:25" x14ac:dyDescent="0.2">
      <c r="A1498" s="903"/>
      <c r="B1498" s="903"/>
      <c r="C1498" s="903"/>
      <c r="D1498" s="903"/>
      <c r="E1498" s="903"/>
      <c r="R1498" s="904"/>
      <c r="S1498" s="904"/>
      <c r="T1498" s="904"/>
      <c r="U1498" s="904"/>
      <c r="V1498" s="904"/>
      <c r="W1498" s="904"/>
      <c r="X1498" s="904"/>
      <c r="Y1498" s="904"/>
    </row>
    <row r="1499" spans="1:25" x14ac:dyDescent="0.2">
      <c r="A1499" s="903"/>
      <c r="B1499" s="903"/>
      <c r="C1499" s="903"/>
      <c r="D1499" s="903"/>
      <c r="E1499" s="903"/>
      <c r="R1499" s="904"/>
      <c r="S1499" s="904"/>
      <c r="T1499" s="904"/>
      <c r="U1499" s="904"/>
      <c r="V1499" s="904"/>
      <c r="W1499" s="904"/>
      <c r="X1499" s="904"/>
      <c r="Y1499" s="904"/>
    </row>
    <row r="1500" spans="1:25" x14ac:dyDescent="0.2">
      <c r="A1500" s="903"/>
      <c r="B1500" s="903"/>
      <c r="C1500" s="903"/>
      <c r="D1500" s="903"/>
      <c r="E1500" s="903"/>
      <c r="R1500" s="904"/>
      <c r="S1500" s="904"/>
      <c r="T1500" s="904"/>
      <c r="U1500" s="904"/>
      <c r="V1500" s="904"/>
      <c r="W1500" s="904"/>
      <c r="X1500" s="904"/>
      <c r="Y1500" s="904"/>
    </row>
    <row r="1501" spans="1:25" x14ac:dyDescent="0.2">
      <c r="A1501" s="903"/>
      <c r="B1501" s="903"/>
      <c r="C1501" s="903"/>
      <c r="D1501" s="903"/>
      <c r="E1501" s="903"/>
      <c r="R1501" s="904"/>
      <c r="S1501" s="904"/>
      <c r="T1501" s="904"/>
      <c r="U1501" s="904"/>
      <c r="V1501" s="904"/>
      <c r="W1501" s="904"/>
      <c r="X1501" s="904"/>
      <c r="Y1501" s="904"/>
    </row>
    <row r="1502" spans="1:25" x14ac:dyDescent="0.2">
      <c r="A1502" s="903"/>
      <c r="B1502" s="903"/>
      <c r="C1502" s="903"/>
      <c r="D1502" s="903"/>
      <c r="E1502" s="903"/>
      <c r="R1502" s="904"/>
      <c r="S1502" s="904"/>
      <c r="T1502" s="904"/>
      <c r="U1502" s="904"/>
      <c r="V1502" s="904"/>
      <c r="W1502" s="904"/>
      <c r="X1502" s="904"/>
      <c r="Y1502" s="904"/>
    </row>
    <row r="1503" spans="1:25" x14ac:dyDescent="0.2">
      <c r="A1503" s="903"/>
      <c r="B1503" s="903"/>
      <c r="C1503" s="903"/>
      <c r="D1503" s="903"/>
      <c r="E1503" s="903"/>
      <c r="R1503" s="904"/>
      <c r="S1503" s="904"/>
      <c r="T1503" s="904"/>
      <c r="U1503" s="904"/>
      <c r="V1503" s="904"/>
      <c r="W1503" s="904"/>
      <c r="X1503" s="904"/>
      <c r="Y1503" s="904"/>
    </row>
    <row r="1504" spans="1:25" x14ac:dyDescent="0.2">
      <c r="A1504" s="903"/>
      <c r="B1504" s="903"/>
      <c r="C1504" s="903"/>
      <c r="D1504" s="903"/>
      <c r="E1504" s="903"/>
      <c r="R1504" s="904"/>
      <c r="S1504" s="904"/>
      <c r="T1504" s="904"/>
      <c r="U1504" s="904"/>
      <c r="V1504" s="904"/>
      <c r="W1504" s="904"/>
      <c r="X1504" s="904"/>
      <c r="Y1504" s="904"/>
    </row>
    <row r="1505" spans="1:25" x14ac:dyDescent="0.2">
      <c r="A1505" s="903"/>
      <c r="B1505" s="903"/>
      <c r="C1505" s="903"/>
      <c r="D1505" s="903"/>
      <c r="E1505" s="903"/>
      <c r="R1505" s="904"/>
      <c r="S1505" s="904"/>
      <c r="T1505" s="904"/>
      <c r="U1505" s="904"/>
      <c r="V1505" s="904"/>
      <c r="W1505" s="904"/>
      <c r="X1505" s="904"/>
      <c r="Y1505" s="904"/>
    </row>
    <row r="1506" spans="1:25" x14ac:dyDescent="0.2">
      <c r="A1506" s="903"/>
      <c r="B1506" s="903"/>
      <c r="C1506" s="903"/>
      <c r="D1506" s="903"/>
      <c r="E1506" s="903"/>
      <c r="R1506" s="904"/>
      <c r="S1506" s="904"/>
      <c r="T1506" s="904"/>
      <c r="U1506" s="904"/>
      <c r="V1506" s="904"/>
      <c r="W1506" s="904"/>
      <c r="X1506" s="904"/>
      <c r="Y1506" s="904"/>
    </row>
    <row r="1507" spans="1:25" x14ac:dyDescent="0.2">
      <c r="A1507" s="903"/>
      <c r="B1507" s="903"/>
      <c r="C1507" s="903"/>
      <c r="D1507" s="903"/>
      <c r="E1507" s="903"/>
      <c r="R1507" s="904"/>
      <c r="S1507" s="904"/>
      <c r="T1507" s="904"/>
      <c r="U1507" s="904"/>
      <c r="V1507" s="904"/>
      <c r="W1507" s="904"/>
      <c r="X1507" s="904"/>
      <c r="Y1507" s="904"/>
    </row>
    <row r="1508" spans="1:25" x14ac:dyDescent="0.2">
      <c r="A1508" s="903"/>
      <c r="B1508" s="903"/>
      <c r="C1508" s="903"/>
      <c r="D1508" s="903"/>
      <c r="E1508" s="903"/>
      <c r="R1508" s="904"/>
      <c r="S1508" s="904"/>
      <c r="T1508" s="904"/>
      <c r="U1508" s="904"/>
      <c r="V1508" s="904"/>
      <c r="W1508" s="904"/>
      <c r="X1508" s="904"/>
      <c r="Y1508" s="904"/>
    </row>
    <row r="1509" spans="1:25" x14ac:dyDescent="0.2">
      <c r="A1509" s="903"/>
      <c r="B1509" s="903"/>
      <c r="C1509" s="903"/>
      <c r="D1509" s="903"/>
      <c r="E1509" s="903"/>
      <c r="R1509" s="904"/>
      <c r="S1509" s="904"/>
      <c r="T1509" s="904"/>
      <c r="U1509" s="904"/>
      <c r="V1509" s="904"/>
      <c r="W1509" s="904"/>
      <c r="X1509" s="904"/>
      <c r="Y1509" s="904"/>
    </row>
    <row r="1510" spans="1:25" x14ac:dyDescent="0.2">
      <c r="A1510" s="903"/>
      <c r="B1510" s="903"/>
      <c r="C1510" s="903"/>
      <c r="D1510" s="903"/>
      <c r="E1510" s="903"/>
      <c r="R1510" s="904"/>
      <c r="S1510" s="904"/>
      <c r="T1510" s="904"/>
      <c r="U1510" s="904"/>
      <c r="V1510" s="904"/>
      <c r="W1510" s="904"/>
      <c r="X1510" s="904"/>
      <c r="Y1510" s="904"/>
    </row>
    <row r="1511" spans="1:25" x14ac:dyDescent="0.2">
      <c r="A1511" s="903"/>
      <c r="B1511" s="903"/>
      <c r="C1511" s="903"/>
      <c r="D1511" s="903"/>
      <c r="E1511" s="903"/>
      <c r="R1511" s="904"/>
      <c r="S1511" s="904"/>
      <c r="T1511" s="904"/>
      <c r="U1511" s="904"/>
      <c r="V1511" s="904"/>
      <c r="W1511" s="904"/>
      <c r="X1511" s="904"/>
      <c r="Y1511" s="904"/>
    </row>
    <row r="1512" spans="1:25" x14ac:dyDescent="0.2">
      <c r="A1512" s="903"/>
      <c r="B1512" s="903"/>
      <c r="C1512" s="903"/>
      <c r="D1512" s="903"/>
      <c r="E1512" s="903"/>
      <c r="R1512" s="904"/>
      <c r="S1512" s="904"/>
      <c r="T1512" s="904"/>
      <c r="U1512" s="904"/>
      <c r="V1512" s="904"/>
      <c r="W1512" s="904"/>
      <c r="X1512" s="904"/>
      <c r="Y1512" s="904"/>
    </row>
    <row r="1513" spans="1:25" x14ac:dyDescent="0.2">
      <c r="A1513" s="903"/>
      <c r="B1513" s="903"/>
      <c r="C1513" s="903"/>
      <c r="D1513" s="903"/>
      <c r="E1513" s="903"/>
      <c r="R1513" s="904"/>
      <c r="S1513" s="904"/>
      <c r="T1513" s="904"/>
      <c r="U1513" s="904"/>
      <c r="V1513" s="904"/>
      <c r="W1513" s="904"/>
      <c r="X1513" s="904"/>
      <c r="Y1513" s="904"/>
    </row>
    <row r="1514" spans="1:25" x14ac:dyDescent="0.2">
      <c r="A1514" s="903"/>
      <c r="B1514" s="903"/>
      <c r="C1514" s="903"/>
      <c r="D1514" s="903"/>
      <c r="E1514" s="903"/>
      <c r="R1514" s="904"/>
      <c r="S1514" s="904"/>
      <c r="T1514" s="904"/>
      <c r="U1514" s="904"/>
      <c r="V1514" s="904"/>
      <c r="W1514" s="904"/>
      <c r="X1514" s="904"/>
      <c r="Y1514" s="904"/>
    </row>
    <row r="1515" spans="1:25" x14ac:dyDescent="0.2">
      <c r="A1515" s="903"/>
      <c r="B1515" s="903"/>
      <c r="C1515" s="903"/>
      <c r="D1515" s="903"/>
      <c r="E1515" s="903"/>
      <c r="R1515" s="904"/>
      <c r="S1515" s="904"/>
      <c r="T1515" s="904"/>
      <c r="U1515" s="904"/>
      <c r="V1515" s="904"/>
      <c r="W1515" s="904"/>
      <c r="X1515" s="904"/>
      <c r="Y1515" s="904"/>
    </row>
    <row r="1516" spans="1:25" x14ac:dyDescent="0.2">
      <c r="A1516" s="903"/>
      <c r="B1516" s="903"/>
      <c r="C1516" s="903"/>
      <c r="D1516" s="903"/>
      <c r="E1516" s="903"/>
      <c r="R1516" s="904"/>
      <c r="S1516" s="904"/>
      <c r="T1516" s="904"/>
      <c r="U1516" s="904"/>
      <c r="V1516" s="904"/>
      <c r="W1516" s="904"/>
      <c r="X1516" s="904"/>
      <c r="Y1516" s="904"/>
    </row>
    <row r="1517" spans="1:25" x14ac:dyDescent="0.2">
      <c r="A1517" s="903"/>
      <c r="B1517" s="903"/>
      <c r="C1517" s="903"/>
      <c r="D1517" s="903"/>
      <c r="E1517" s="903"/>
      <c r="R1517" s="904"/>
      <c r="S1517" s="904"/>
      <c r="T1517" s="904"/>
      <c r="U1517" s="904"/>
      <c r="V1517" s="904"/>
      <c r="W1517" s="904"/>
      <c r="X1517" s="904"/>
      <c r="Y1517" s="904"/>
    </row>
    <row r="1518" spans="1:25" x14ac:dyDescent="0.2">
      <c r="A1518" s="903"/>
      <c r="B1518" s="903"/>
      <c r="C1518" s="903"/>
      <c r="D1518" s="903"/>
      <c r="E1518" s="903"/>
      <c r="R1518" s="904"/>
      <c r="S1518" s="904"/>
      <c r="T1518" s="904"/>
      <c r="U1518" s="904"/>
      <c r="V1518" s="904"/>
      <c r="W1518" s="904"/>
      <c r="X1518" s="904"/>
      <c r="Y1518" s="904"/>
    </row>
    <row r="1519" spans="1:25" x14ac:dyDescent="0.2">
      <c r="A1519" s="903"/>
      <c r="B1519" s="903"/>
      <c r="C1519" s="903"/>
      <c r="D1519" s="903"/>
      <c r="E1519" s="903"/>
      <c r="R1519" s="904"/>
      <c r="S1519" s="904"/>
      <c r="T1519" s="904"/>
      <c r="U1519" s="904"/>
      <c r="V1519" s="904"/>
      <c r="W1519" s="904"/>
      <c r="X1519" s="904"/>
      <c r="Y1519" s="904"/>
    </row>
    <row r="1520" spans="1:25" x14ac:dyDescent="0.2">
      <c r="A1520" s="903"/>
      <c r="B1520" s="903"/>
      <c r="C1520" s="903"/>
      <c r="D1520" s="903"/>
      <c r="E1520" s="903"/>
      <c r="R1520" s="904"/>
      <c r="S1520" s="904"/>
      <c r="T1520" s="904"/>
      <c r="U1520" s="904"/>
      <c r="V1520" s="904"/>
      <c r="W1520" s="904"/>
      <c r="X1520" s="904"/>
      <c r="Y1520" s="904"/>
    </row>
    <row r="1521" spans="1:25" x14ac:dyDescent="0.2">
      <c r="A1521" s="903"/>
      <c r="B1521" s="903"/>
      <c r="C1521" s="903"/>
      <c r="D1521" s="903"/>
      <c r="E1521" s="903"/>
      <c r="R1521" s="904"/>
      <c r="S1521" s="904"/>
      <c r="T1521" s="904"/>
      <c r="U1521" s="904"/>
      <c r="V1521" s="904"/>
      <c r="W1521" s="904"/>
      <c r="X1521" s="904"/>
      <c r="Y1521" s="904"/>
    </row>
    <row r="1522" spans="1:25" x14ac:dyDescent="0.2">
      <c r="A1522" s="903"/>
      <c r="B1522" s="903"/>
      <c r="C1522" s="903"/>
      <c r="D1522" s="903"/>
      <c r="E1522" s="903"/>
      <c r="R1522" s="904"/>
      <c r="S1522" s="904"/>
      <c r="T1522" s="904"/>
      <c r="U1522" s="904"/>
      <c r="V1522" s="904"/>
      <c r="W1522" s="904"/>
      <c r="X1522" s="904"/>
      <c r="Y1522" s="904"/>
    </row>
    <row r="1523" spans="1:25" x14ac:dyDescent="0.2">
      <c r="A1523" s="903"/>
      <c r="B1523" s="903"/>
      <c r="C1523" s="903"/>
      <c r="D1523" s="903"/>
      <c r="E1523" s="903"/>
      <c r="R1523" s="904"/>
      <c r="S1523" s="904"/>
      <c r="T1523" s="904"/>
      <c r="U1523" s="904"/>
      <c r="V1523" s="904"/>
      <c r="W1523" s="904"/>
      <c r="X1523" s="904"/>
      <c r="Y1523" s="904"/>
    </row>
    <row r="1524" spans="1:25" x14ac:dyDescent="0.2">
      <c r="A1524" s="903"/>
      <c r="B1524" s="903"/>
      <c r="C1524" s="903"/>
      <c r="D1524" s="903"/>
      <c r="E1524" s="903"/>
      <c r="R1524" s="904"/>
      <c r="S1524" s="904"/>
      <c r="T1524" s="904"/>
      <c r="U1524" s="904"/>
      <c r="V1524" s="904"/>
      <c r="W1524" s="904"/>
      <c r="X1524" s="904"/>
      <c r="Y1524" s="904"/>
    </row>
    <row r="1525" spans="1:25" x14ac:dyDescent="0.2">
      <c r="A1525" s="903"/>
      <c r="B1525" s="903"/>
      <c r="C1525" s="903"/>
      <c r="D1525" s="903"/>
      <c r="E1525" s="903"/>
      <c r="R1525" s="904"/>
      <c r="S1525" s="904"/>
      <c r="T1525" s="904"/>
      <c r="U1525" s="904"/>
      <c r="V1525" s="904"/>
      <c r="W1525" s="904"/>
      <c r="X1525" s="904"/>
      <c r="Y1525" s="904"/>
    </row>
    <row r="1526" spans="1:25" x14ac:dyDescent="0.2">
      <c r="A1526" s="903"/>
      <c r="B1526" s="903"/>
      <c r="C1526" s="903"/>
      <c r="D1526" s="903"/>
      <c r="E1526" s="903"/>
      <c r="R1526" s="904"/>
      <c r="S1526" s="904"/>
      <c r="T1526" s="904"/>
      <c r="U1526" s="904"/>
      <c r="V1526" s="904"/>
      <c r="W1526" s="904"/>
      <c r="X1526" s="904"/>
      <c r="Y1526" s="904"/>
    </row>
    <row r="1527" spans="1:25" x14ac:dyDescent="0.2">
      <c r="E1527" s="903"/>
      <c r="R1527" s="904"/>
      <c r="S1527" s="904"/>
      <c r="T1527" s="904"/>
      <c r="U1527" s="904"/>
      <c r="V1527" s="904"/>
      <c r="W1527" s="904"/>
      <c r="X1527" s="904"/>
      <c r="Y1527" s="904"/>
    </row>
    <row r="1528" spans="1:25" x14ac:dyDescent="0.2">
      <c r="E1528" s="903"/>
      <c r="R1528" s="904"/>
      <c r="S1528" s="904"/>
      <c r="T1528" s="904"/>
      <c r="U1528" s="904"/>
      <c r="V1528" s="904"/>
      <c r="W1528" s="904"/>
      <c r="X1528" s="904"/>
      <c r="Y1528" s="904"/>
    </row>
  </sheetData>
  <mergeCells count="21"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  <mergeCell ref="C31:D31"/>
    <mergeCell ref="A38:B38"/>
    <mergeCell ref="C38:D38"/>
    <mergeCell ref="A45:B45"/>
    <mergeCell ref="C45:D45"/>
    <mergeCell ref="C8:D8"/>
    <mergeCell ref="C11:D11"/>
    <mergeCell ref="C13:D13"/>
    <mergeCell ref="A14:B14"/>
    <mergeCell ref="A30:B30"/>
    <mergeCell ref="C30:D30"/>
  </mergeCells>
  <phoneticPr fontId="5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0" r:id="rId1"/>
    <hyperlink ref="D65" r:id="rId2"/>
    <hyperlink ref="B72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tabSelected="1" view="pageBreakPreview" zoomScaleNormal="100" zoomScaleSheetLayoutView="100" workbookViewId="0">
      <pane xSplit="1" ySplit="4" topLeftCell="B3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NW385 Ramotshere Moiloa - Table C1 Monthly Budget Statement Summary - M10 April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78" t="str">
        <f>desc</f>
        <v>Description</v>
      </c>
      <c r="B2" s="159" t="str">
        <f>Head1</f>
        <v>2014/15</v>
      </c>
      <c r="C2" s="980" t="str">
        <f>Head2</f>
        <v>Budget Year 2015/16</v>
      </c>
      <c r="D2" s="981"/>
      <c r="E2" s="981"/>
      <c r="F2" s="981"/>
      <c r="G2" s="981"/>
      <c r="H2" s="981"/>
      <c r="I2" s="981"/>
      <c r="J2" s="982"/>
    </row>
    <row r="3" spans="1:10" ht="25.5" x14ac:dyDescent="0.25">
      <c r="A3" s="979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21843140</v>
      </c>
      <c r="C6" s="659">
        <f>SUM('C4-FinPerf RE'!D6:D7)</f>
        <v>36278085.024999961</v>
      </c>
      <c r="D6" s="411">
        <f>SUM('C4-FinPerf RE'!E6:E7)</f>
        <v>22296631</v>
      </c>
      <c r="E6" s="411">
        <f>SUM('C4-FinPerf RE'!F6:F7)</f>
        <v>1319514</v>
      </c>
      <c r="F6" s="411">
        <f>SUM('C4-FinPerf RE'!G6:G7)</f>
        <v>19043417</v>
      </c>
      <c r="G6" s="660">
        <f>SUM('C4-FinPerf RE'!H6:H7)</f>
        <v>24185390.01666664</v>
      </c>
      <c r="H6" s="411">
        <f>F6-G6</f>
        <v>-5141973.0166666396</v>
      </c>
      <c r="I6" s="601">
        <f>IF(H6=0,"",H6/G6)</f>
        <v>-0.21260657831538801</v>
      </c>
      <c r="J6" s="652">
        <f>SUM('C4-FinPerf RE'!K6:K7)</f>
        <v>0</v>
      </c>
    </row>
    <row r="7" spans="1:10" ht="12.75" customHeight="1" x14ac:dyDescent="0.25">
      <c r="A7" s="153" t="s">
        <v>1130</v>
      </c>
      <c r="B7" s="658">
        <f>SUM('C4-FinPerf RE'!C8:C12)</f>
        <v>60789864</v>
      </c>
      <c r="C7" s="659">
        <f>SUM('C4-FinPerf RE'!D8:D12)</f>
        <v>73467575</v>
      </c>
      <c r="D7" s="411">
        <f>SUM('C4-FinPerf RE'!E8:E12)</f>
        <v>84790886</v>
      </c>
      <c r="E7" s="411">
        <f>SUM('C4-FinPerf RE'!F8:F12)</f>
        <v>5138911</v>
      </c>
      <c r="F7" s="411">
        <f>SUM('C4-FinPerf RE'!G8:G12)</f>
        <v>50773835.300000004</v>
      </c>
      <c r="G7" s="660">
        <f>SUM('C4-FinPerf RE'!H8:H12)</f>
        <v>48552694.583333336</v>
      </c>
      <c r="H7" s="411">
        <f>F7-G7</f>
        <v>2221140.7166666687</v>
      </c>
      <c r="I7" s="208">
        <f>IF(H7=0,"",H7/G7)</f>
        <v>4.5747012307512977E-2</v>
      </c>
      <c r="J7" s="652">
        <f>SUM('C4-FinPerf RE'!K8:K12)</f>
        <v>0</v>
      </c>
    </row>
    <row r="8" spans="1:10" ht="12.75" customHeight="1" x14ac:dyDescent="0.25">
      <c r="A8" s="153" t="s">
        <v>611</v>
      </c>
      <c r="B8" s="658">
        <f>'C4-FinPerf RE'!C14</f>
        <v>1432729</v>
      </c>
      <c r="C8" s="659">
        <f>'C4-FinPerf RE'!D14</f>
        <v>131771</v>
      </c>
      <c r="D8" s="411">
        <f>'C4-FinPerf RE'!E14</f>
        <v>131771</v>
      </c>
      <c r="E8" s="411">
        <f>'C4-FinPerf RE'!F14</f>
        <v>2062</v>
      </c>
      <c r="F8" s="411">
        <f>'C4-FinPerf RE'!G14</f>
        <v>95698.32</v>
      </c>
      <c r="G8" s="660">
        <f>'C4-FinPerf RE'!H14</f>
        <v>87847.333333333328</v>
      </c>
      <c r="H8" s="411">
        <f>F8-G8</f>
        <v>7850.9866666666785</v>
      </c>
      <c r="I8" s="208">
        <f>IF(H8=0,"",H8/G8)</f>
        <v>8.9370802376850883E-2</v>
      </c>
      <c r="J8" s="652">
        <f>'C4-FinPerf RE'!K14</f>
        <v>0</v>
      </c>
    </row>
    <row r="9" spans="1:10" ht="12.75" customHeight="1" x14ac:dyDescent="0.25">
      <c r="A9" s="153" t="s">
        <v>78</v>
      </c>
      <c r="B9" s="658">
        <f>'C4-FinPerf RE'!C20</f>
        <v>162320049</v>
      </c>
      <c r="C9" s="659">
        <f>'C4-FinPerf RE'!D20</f>
        <v>145031000</v>
      </c>
      <c r="D9" s="411">
        <f>'C4-FinPerf RE'!E20</f>
        <v>142831000</v>
      </c>
      <c r="E9" s="411">
        <f>'C4-FinPerf RE'!F20</f>
        <v>865363</v>
      </c>
      <c r="F9" s="411">
        <f>'C4-FinPerf RE'!G20</f>
        <v>106771090</v>
      </c>
      <c r="G9" s="660">
        <f>'C4-FinPerf RE'!H20</f>
        <v>96687333.333333328</v>
      </c>
      <c r="H9" s="411">
        <f>F9-G9</f>
        <v>10083756.666666672</v>
      </c>
      <c r="I9" s="208">
        <f>IF(H9=0,"",H9/G9)</f>
        <v>0.10429242713626748</v>
      </c>
      <c r="J9" s="652">
        <f>'C4-FinPerf RE'!K20</f>
        <v>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13187742</v>
      </c>
      <c r="C10" s="662">
        <f>'C4-FinPerf RE'!D13+'C4-FinPerf RE'!D15+'C4-FinPerf RE'!D16+'C4-FinPerf RE'!D17+'C4-FinPerf RE'!D18+'C4-FinPerf RE'!D19+'C4-FinPerf RE'!D21+'C4-FinPerf RE'!D22</f>
        <v>27213404.48896414</v>
      </c>
      <c r="D10" s="412">
        <f>'C4-FinPerf RE'!E13+'C4-FinPerf RE'!E15+'C4-FinPerf RE'!E16+'C4-FinPerf RE'!E17+'C4-FinPerf RE'!E18+'C4-FinPerf RE'!E19+'C4-FinPerf RE'!E21+'C4-FinPerf RE'!E22</f>
        <v>40212150.48896414</v>
      </c>
      <c r="E10" s="412">
        <f>'C4-FinPerf RE'!F13+'C4-FinPerf RE'!F15+'C4-FinPerf RE'!F16+'C4-FinPerf RE'!F17+'C4-FinPerf RE'!F18+'C4-FinPerf RE'!F19+'C4-FinPerf RE'!F21+'C4-FinPerf RE'!F22</f>
        <v>397556</v>
      </c>
      <c r="F10" s="412">
        <f>'C4-FinPerf RE'!G13+'C4-FinPerf RE'!G15+'C4-FinPerf RE'!G16+'C4-FinPerf RE'!G17+'C4-FinPerf RE'!G18+'C4-FinPerf RE'!G19+'C4-FinPerf RE'!G21+'C4-FinPerf RE'!G22</f>
        <v>41955690.07</v>
      </c>
      <c r="G10" s="663">
        <f>'C4-FinPerf RE'!H13+'C4-FinPerf RE'!H15+'C4-FinPerf RE'!H16+'C4-FinPerf RE'!H17+'C4-FinPerf RE'!H18+'C4-FinPerf RE'!H19+'C4-FinPerf RE'!H21+'C4-FinPerf RE'!H22</f>
        <v>18142269.659309428</v>
      </c>
      <c r="H10" s="412">
        <f>F10-G10</f>
        <v>23813420.410690572</v>
      </c>
      <c r="I10" s="209">
        <f>IF(H10=0,"",H10/G10)</f>
        <v>1.3125932343570408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 x14ac:dyDescent="0.25">
      <c r="A11" s="592" t="s">
        <v>149</v>
      </c>
      <c r="B11" s="665">
        <f t="shared" ref="B11:J11" si="0">SUM(B6:B10)</f>
        <v>259573524</v>
      </c>
      <c r="C11" s="666">
        <f t="shared" si="0"/>
        <v>282121835.51396412</v>
      </c>
      <c r="D11" s="667">
        <f t="shared" si="0"/>
        <v>290262438.48896414</v>
      </c>
      <c r="E11" s="667">
        <f t="shared" si="0"/>
        <v>7723406</v>
      </c>
      <c r="F11" s="667">
        <f t="shared" si="0"/>
        <v>218639730.69</v>
      </c>
      <c r="G11" s="668">
        <f t="shared" si="0"/>
        <v>187655534.92597607</v>
      </c>
      <c r="H11" s="667">
        <f t="shared" ref="H11:H25" si="1">F11-G11</f>
        <v>30984195.76402393</v>
      </c>
      <c r="I11" s="603">
        <f t="shared" ref="I11:I25" si="2">IF(H11=0,"",H11/G11)</f>
        <v>0.1651120803670735</v>
      </c>
      <c r="J11" s="669">
        <f t="shared" si="0"/>
        <v>0</v>
      </c>
    </row>
    <row r="12" spans="1:10" ht="12.75" customHeight="1" x14ac:dyDescent="0.25">
      <c r="A12" s="153" t="s">
        <v>585</v>
      </c>
      <c r="B12" s="658">
        <f>'C4-FinPerf RE'!C26</f>
        <v>103878112</v>
      </c>
      <c r="C12" s="659">
        <f>'C4-FinPerf RE'!D26</f>
        <v>98964379.472879097</v>
      </c>
      <c r="D12" s="411">
        <f>'C4-FinPerf RE'!E26</f>
        <v>98964379.472879097</v>
      </c>
      <c r="E12" s="411">
        <f>'C4-FinPerf RE'!F26</f>
        <v>9090079.2300000004</v>
      </c>
      <c r="F12" s="411">
        <f>'C4-FinPerf RE'!G26</f>
        <v>83030461.230000004</v>
      </c>
      <c r="G12" s="660">
        <f>'C4-FinPerf RE'!H26</f>
        <v>65976252.9819194</v>
      </c>
      <c r="H12" s="411">
        <f t="shared" si="1"/>
        <v>17054208.248080604</v>
      </c>
      <c r="I12" s="208">
        <f t="shared" si="2"/>
        <v>0.25849010026007779</v>
      </c>
      <c r="J12" s="652">
        <f>'C4-FinPerf RE'!K26</f>
        <v>0</v>
      </c>
    </row>
    <row r="13" spans="1:10" ht="12.75" customHeight="1" x14ac:dyDescent="0.25">
      <c r="A13" s="153" t="s">
        <v>1001</v>
      </c>
      <c r="B13" s="658">
        <f>'C4-FinPerf RE'!C27</f>
        <v>11421583</v>
      </c>
      <c r="C13" s="659">
        <f>'C4-FinPerf RE'!D27</f>
        <v>11807209.180665646</v>
      </c>
      <c r="D13" s="411">
        <f>'C4-FinPerf RE'!E27</f>
        <v>11807209.180665646</v>
      </c>
      <c r="E13" s="411">
        <f>'C4-FinPerf RE'!F27</f>
        <v>593784</v>
      </c>
      <c r="F13" s="411">
        <f>'C4-FinPerf RE'!G27</f>
        <v>5466065.0300000003</v>
      </c>
      <c r="G13" s="660">
        <f>'C4-FinPerf RE'!H27</f>
        <v>7871472.7871104302</v>
      </c>
      <c r="H13" s="411">
        <f t="shared" si="1"/>
        <v>-2405407.7571104299</v>
      </c>
      <c r="I13" s="208">
        <f t="shared" si="2"/>
        <v>-0.30558547582725498</v>
      </c>
      <c r="J13" s="652">
        <f>'C4-FinPerf RE'!K27</f>
        <v>0</v>
      </c>
    </row>
    <row r="14" spans="1:10" ht="12.75" customHeight="1" x14ac:dyDescent="0.25">
      <c r="A14" s="591" t="s">
        <v>811</v>
      </c>
      <c r="B14" s="658">
        <f>'C4-FinPerf RE'!C29</f>
        <v>37238233</v>
      </c>
      <c r="C14" s="659">
        <f>'C4-FinPerf RE'!D29</f>
        <v>6000000</v>
      </c>
      <c r="D14" s="411">
        <f>'C4-FinPerf RE'!E29</f>
        <v>15736812</v>
      </c>
      <c r="E14" s="411">
        <f>'C4-FinPerf RE'!F29</f>
        <v>0</v>
      </c>
      <c r="F14" s="411">
        <f>'C4-FinPerf RE'!G29</f>
        <v>0</v>
      </c>
      <c r="G14" s="660">
        <f>'C4-FinPerf RE'!H29</f>
        <v>4000000</v>
      </c>
      <c r="H14" s="411">
        <f t="shared" si="1"/>
        <v>-4000000</v>
      </c>
      <c r="I14" s="208">
        <f t="shared" si="2"/>
        <v>-1</v>
      </c>
      <c r="J14" s="652">
        <f>'C4-FinPerf RE'!K29</f>
        <v>0</v>
      </c>
    </row>
    <row r="15" spans="1:10" ht="12.75" customHeight="1" x14ac:dyDescent="0.25">
      <c r="A15" s="153" t="s">
        <v>560</v>
      </c>
      <c r="B15" s="658">
        <f>'C4-FinPerf RE'!C30</f>
        <v>2014375</v>
      </c>
      <c r="C15" s="659">
        <f>'C4-FinPerf RE'!D30</f>
        <v>1284984.6954000003</v>
      </c>
      <c r="D15" s="411">
        <f>'C4-FinPerf RE'!E30</f>
        <v>10284984.6954</v>
      </c>
      <c r="E15" s="411">
        <f>'C4-FinPerf RE'!F30</f>
        <v>53115</v>
      </c>
      <c r="F15" s="411">
        <f>'C4-FinPerf RE'!G30</f>
        <v>968488.2</v>
      </c>
      <c r="G15" s="660">
        <f>'C4-FinPerf RE'!H30</f>
        <v>856656.46360000025</v>
      </c>
      <c r="H15" s="411">
        <f t="shared" si="1"/>
        <v>111831.7363999997</v>
      </c>
      <c r="I15" s="208">
        <f t="shared" si="2"/>
        <v>0.13054443776684962</v>
      </c>
      <c r="J15" s="652">
        <f>'C4-FinPerf RE'!K30</f>
        <v>0</v>
      </c>
    </row>
    <row r="16" spans="1:10" ht="12.75" customHeight="1" x14ac:dyDescent="0.25">
      <c r="A16" s="153" t="s">
        <v>610</v>
      </c>
      <c r="B16" s="658">
        <f>SUM('C4-FinPerf RE'!C31:C32)</f>
        <v>41428307</v>
      </c>
      <c r="C16" s="659">
        <f>SUM('C4-FinPerf RE'!D31:D32)</f>
        <v>46864206.78713201</v>
      </c>
      <c r="D16" s="411">
        <f>SUM('C4-FinPerf RE'!E31:E32)</f>
        <v>50677462.332125999</v>
      </c>
      <c r="E16" s="411">
        <f>SUM('C4-FinPerf RE'!F31:F32)</f>
        <v>3464552</v>
      </c>
      <c r="F16" s="411">
        <f>SUM('C4-FinPerf RE'!G31:G32)</f>
        <v>35251647.57</v>
      </c>
      <c r="G16" s="660">
        <f>SUM('C4-FinPerf RE'!H31:H32)</f>
        <v>31242804.524754673</v>
      </c>
      <c r="H16" s="411">
        <f t="shared" si="1"/>
        <v>4008843.0452453271</v>
      </c>
      <c r="I16" s="601">
        <f t="shared" si="2"/>
        <v>0.1283125220742905</v>
      </c>
      <c r="J16" s="652">
        <f>SUM('C4-FinPerf RE'!K31:K32)</f>
        <v>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9511000</v>
      </c>
      <c r="D17" s="411">
        <f>'C4-FinPerf RE'!E34</f>
        <v>9511000</v>
      </c>
      <c r="E17" s="411">
        <f>'C4-FinPerf RE'!F34</f>
        <v>0</v>
      </c>
      <c r="F17" s="411">
        <f>'C4-FinPerf RE'!G34</f>
        <v>2292480</v>
      </c>
      <c r="G17" s="660">
        <f>'C4-FinPerf RE'!H34</f>
        <v>6340666.666666667</v>
      </c>
      <c r="H17" s="411">
        <f t="shared" si="1"/>
        <v>-4048186.666666667</v>
      </c>
      <c r="I17" s="208">
        <f t="shared" si="2"/>
        <v>-0.63844811271159707</v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88894337</v>
      </c>
      <c r="C18" s="659">
        <f>'C4-FinPerf RE'!D37-SUM('C1-Sum'!C12:C17)</f>
        <v>82074032.256927311</v>
      </c>
      <c r="D18" s="411">
        <f>'C4-FinPerf RE'!E37-SUM('C1-Sum'!D12:D17)</f>
        <v>86308626.256927341</v>
      </c>
      <c r="E18" s="411">
        <f>'C4-FinPerf RE'!F37-SUM('C1-Sum'!E12:E17)</f>
        <v>3777985.4400000013</v>
      </c>
      <c r="F18" s="411">
        <f>'C4-FinPerf RE'!G37-SUM('C1-Sum'!F12:F17)</f>
        <v>40382014.360000044</v>
      </c>
      <c r="G18" s="660">
        <f>'C4-FinPerf RE'!H37-SUM('C1-Sum'!G12:G17)</f>
        <v>54290021.504618227</v>
      </c>
      <c r="H18" s="411">
        <f t="shared" si="1"/>
        <v>-13908007.144618183</v>
      </c>
      <c r="I18" s="208">
        <f t="shared" si="2"/>
        <v>-0.25617980540742807</v>
      </c>
      <c r="J18" s="652">
        <f>'C4-FinPerf RE'!K37-SUM('C1-Sum'!J12:J17)</f>
        <v>0</v>
      </c>
    </row>
    <row r="19" spans="1:11" ht="12.75" customHeight="1" x14ac:dyDescent="0.25">
      <c r="A19" s="593" t="s">
        <v>599</v>
      </c>
      <c r="B19" s="670">
        <f t="shared" ref="B19:G19" si="3">SUM(B12:B18)</f>
        <v>284874947</v>
      </c>
      <c r="C19" s="671">
        <f t="shared" si="3"/>
        <v>256505812.39300406</v>
      </c>
      <c r="D19" s="672">
        <f t="shared" si="3"/>
        <v>283290473.93799806</v>
      </c>
      <c r="E19" s="672">
        <f t="shared" si="3"/>
        <v>16979515.670000002</v>
      </c>
      <c r="F19" s="672">
        <f t="shared" si="3"/>
        <v>167391156.39000005</v>
      </c>
      <c r="G19" s="673">
        <f t="shared" si="3"/>
        <v>170577874.92866939</v>
      </c>
      <c r="H19" s="672">
        <f t="shared" si="1"/>
        <v>-3186718.5386693478</v>
      </c>
      <c r="I19" s="385">
        <f t="shared" si="2"/>
        <v>-1.8681898458413431E-2</v>
      </c>
      <c r="J19" s="674">
        <f>SUM(J12:J18)</f>
        <v>0</v>
      </c>
    </row>
    <row r="20" spans="1:11" ht="12.75" customHeight="1" x14ac:dyDescent="0.25">
      <c r="A20" s="154" t="s">
        <v>600</v>
      </c>
      <c r="B20" s="675">
        <f t="shared" ref="B20:G20" si="4">B11-B19</f>
        <v>-25301423</v>
      </c>
      <c r="C20" s="676">
        <f t="shared" si="4"/>
        <v>25616023.120960057</v>
      </c>
      <c r="D20" s="647">
        <f t="shared" si="4"/>
        <v>6971964.550966084</v>
      </c>
      <c r="E20" s="647">
        <f t="shared" si="4"/>
        <v>-9256109.6700000018</v>
      </c>
      <c r="F20" s="647">
        <f t="shared" si="4"/>
        <v>51248574.299999952</v>
      </c>
      <c r="G20" s="677">
        <f t="shared" si="4"/>
        <v>17077659.997306675</v>
      </c>
      <c r="H20" s="647">
        <f t="shared" si="1"/>
        <v>34170914.302693278</v>
      </c>
      <c r="I20" s="207">
        <f t="shared" si="2"/>
        <v>2.0009131407981178</v>
      </c>
      <c r="J20" s="651">
        <f>J11-J19</f>
        <v>0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80087000</v>
      </c>
      <c r="D21" s="411">
        <f>'C4-FinPerf RE'!E40</f>
        <v>60722000</v>
      </c>
      <c r="E21" s="411">
        <f>'C4-FinPerf RE'!F40</f>
        <v>0</v>
      </c>
      <c r="F21" s="411">
        <f>'C4-FinPerf RE'!G40</f>
        <v>0</v>
      </c>
      <c r="G21" s="660">
        <f>'C4-FinPerf RE'!H40</f>
        <v>53391333.333333336</v>
      </c>
      <c r="H21" s="411">
        <f t="shared" si="1"/>
        <v>-53391333.333333336</v>
      </c>
      <c r="I21" s="208">
        <f t="shared" si="2"/>
        <v>-1</v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-25301423</v>
      </c>
      <c r="C23" s="666">
        <f t="shared" si="5"/>
        <v>105703023.12096006</v>
      </c>
      <c r="D23" s="667">
        <f t="shared" si="5"/>
        <v>67693964.550966084</v>
      </c>
      <c r="E23" s="667">
        <f t="shared" si="5"/>
        <v>-9256109.6700000018</v>
      </c>
      <c r="F23" s="667">
        <f t="shared" si="5"/>
        <v>51248574.299999952</v>
      </c>
      <c r="G23" s="668">
        <f t="shared" si="5"/>
        <v>70468993.330640018</v>
      </c>
      <c r="H23" s="667">
        <f t="shared" si="1"/>
        <v>-19220419.030640066</v>
      </c>
      <c r="I23" s="602">
        <f t="shared" si="2"/>
        <v>-0.27275001560555856</v>
      </c>
      <c r="J23" s="669">
        <f>J20+J21+J22</f>
        <v>0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-25301423</v>
      </c>
      <c r="C25" s="676">
        <f t="shared" si="6"/>
        <v>105703023.12096006</v>
      </c>
      <c r="D25" s="647">
        <f t="shared" si="6"/>
        <v>67693964.550966084</v>
      </c>
      <c r="E25" s="647">
        <f t="shared" si="6"/>
        <v>-9256109.6700000018</v>
      </c>
      <c r="F25" s="647">
        <f t="shared" si="6"/>
        <v>51248574.299999952</v>
      </c>
      <c r="G25" s="677">
        <f t="shared" si="6"/>
        <v>70468993.330640018</v>
      </c>
      <c r="H25" s="647">
        <f t="shared" si="1"/>
        <v>-19220419.030640066</v>
      </c>
      <c r="I25" s="207">
        <f t="shared" si="2"/>
        <v>-0.27275001560555856</v>
      </c>
      <c r="J25" s="651">
        <f>J23+J24</f>
        <v>0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47732912</v>
      </c>
      <c r="C28" s="671">
        <f>'C5-Capex'!D40</f>
        <v>105703023.12096</v>
      </c>
      <c r="D28" s="672">
        <f>'C5-Capex'!E40</f>
        <v>67693761.120959997</v>
      </c>
      <c r="E28" s="672">
        <f>'C5-Capex'!F40</f>
        <v>2048835</v>
      </c>
      <c r="F28" s="672">
        <f>'C5-Capex'!G40</f>
        <v>49701355</v>
      </c>
      <c r="G28" s="673">
        <f>'C5-Capex'!H40</f>
        <v>70468682.413973331</v>
      </c>
      <c r="H28" s="672">
        <f t="shared" ref="H28:H33" si="7">F28-G28</f>
        <v>-20767327.413973331</v>
      </c>
      <c r="I28" s="385">
        <f t="shared" ref="I28:I33" si="8">IF(H28=0,"",H28/G28)</f>
        <v>-0.29470293331120023</v>
      </c>
      <c r="J28" s="674">
        <f>'C5-Capex'!K40</f>
        <v>0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80087000</v>
      </c>
      <c r="D29" s="411">
        <f>'C5-Capex'!E70</f>
        <v>60722000</v>
      </c>
      <c r="E29" s="411">
        <f>'C5-Capex'!F70</f>
        <v>2022835</v>
      </c>
      <c r="F29" s="411">
        <f>'C5-Capex'!G70</f>
        <v>33311467</v>
      </c>
      <c r="G29" s="660">
        <f>'C5-Capex'!H70</f>
        <v>53391333.333333336</v>
      </c>
      <c r="H29" s="411">
        <f t="shared" si="7"/>
        <v>-20079866.333333336</v>
      </c>
      <c r="I29" s="601">
        <f t="shared" si="8"/>
        <v>-0.37608849750895906</v>
      </c>
      <c r="J29" s="652">
        <f>'C5-Capex'!K70</f>
        <v>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25616023.120959997</v>
      </c>
      <c r="D32" s="672">
        <f>'C5-Capex'!E73</f>
        <v>6971761.0034363791</v>
      </c>
      <c r="E32" s="672">
        <f>'C5-Capex'!F73</f>
        <v>26000</v>
      </c>
      <c r="F32" s="672">
        <f>'C5-Capex'!G73</f>
        <v>16389888</v>
      </c>
      <c r="G32" s="673">
        <f>'C5-Capex'!H73</f>
        <v>17078098</v>
      </c>
      <c r="H32" s="672">
        <f t="shared" si="7"/>
        <v>-688210</v>
      </c>
      <c r="I32" s="385">
        <f t="shared" si="8"/>
        <v>-4.0297813023440904E-2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105703023.12096</v>
      </c>
      <c r="D33" s="621">
        <f t="shared" si="9"/>
        <v>67693761.003436387</v>
      </c>
      <c r="E33" s="621">
        <f>SUM(E29:E32)</f>
        <v>2048835</v>
      </c>
      <c r="F33" s="621">
        <f>SUM(F29:F32)</f>
        <v>49701355</v>
      </c>
      <c r="G33" s="622">
        <f>SUM(G29:G32)</f>
        <v>70469431.333333343</v>
      </c>
      <c r="H33" s="621">
        <f t="shared" si="7"/>
        <v>-20768076.333333343</v>
      </c>
      <c r="I33" s="604">
        <f t="shared" si="8"/>
        <v>-0.2947104289106085</v>
      </c>
      <c r="J33" s="624">
        <f t="shared" si="9"/>
        <v>0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74052023</v>
      </c>
      <c r="C36" s="659">
        <f>'C6-FinPos'!D13</f>
        <v>190210107.54154223</v>
      </c>
      <c r="D36" s="411">
        <f>'C6-FinPos'!E13</f>
        <v>202542904.00424999</v>
      </c>
      <c r="E36" s="411"/>
      <c r="F36" s="411">
        <f>'C6-FinPos'!F13</f>
        <v>192194062</v>
      </c>
      <c r="G36" s="218"/>
      <c r="H36" s="218"/>
      <c r="I36" s="220"/>
      <c r="J36" s="652">
        <f>'C6-FinPos'!G13</f>
        <v>0</v>
      </c>
    </row>
    <row r="37" spans="1:10" ht="12.75" customHeight="1" x14ac:dyDescent="0.25">
      <c r="A37" s="153" t="s">
        <v>777</v>
      </c>
      <c r="B37" s="658">
        <f>'C6-FinPos'!C25</f>
        <v>569758861</v>
      </c>
      <c r="C37" s="659">
        <f>'C6-FinPos'!D25</f>
        <v>538305324.59096003</v>
      </c>
      <c r="D37" s="411">
        <f>'C6-FinPos'!E25</f>
        <v>540996851.21391475</v>
      </c>
      <c r="E37" s="411"/>
      <c r="F37" s="411">
        <f>'C6-FinPos'!F25</f>
        <v>611180980</v>
      </c>
      <c r="G37" s="218"/>
      <c r="H37" s="218"/>
      <c r="I37" s="220"/>
      <c r="J37" s="652">
        <f>'C6-FinPos'!G25</f>
        <v>0</v>
      </c>
    </row>
    <row r="38" spans="1:10" ht="12.75" customHeight="1" x14ac:dyDescent="0.25">
      <c r="A38" s="153" t="s">
        <v>567</v>
      </c>
      <c r="B38" s="658">
        <f>'C6-FinPos'!C35</f>
        <v>85801889</v>
      </c>
      <c r="C38" s="659">
        <f>'C6-FinPos'!D35</f>
        <v>110471228.83</v>
      </c>
      <c r="D38" s="411">
        <f>'C6-FinPos'!E35</f>
        <v>111023584.97415</v>
      </c>
      <c r="E38" s="411"/>
      <c r="F38" s="411">
        <f>'C6-FinPos'!F35</f>
        <v>216708391</v>
      </c>
      <c r="G38" s="218"/>
      <c r="H38" s="218"/>
      <c r="I38" s="220"/>
      <c r="J38" s="652">
        <f>'C6-FinPos'!G35</f>
        <v>0</v>
      </c>
    </row>
    <row r="39" spans="1:10" ht="12.75" customHeight="1" x14ac:dyDescent="0.25">
      <c r="A39" s="153" t="s">
        <v>566</v>
      </c>
      <c r="B39" s="658">
        <f>'C6-FinPos'!C40</f>
        <v>57292946</v>
      </c>
      <c r="C39" s="659">
        <f>'C6-FinPos'!D40</f>
        <v>48958564.000000007</v>
      </c>
      <c r="D39" s="411">
        <f>'C6-FinPos'!E40</f>
        <v>49203356.820000008</v>
      </c>
      <c r="E39" s="411"/>
      <c r="F39" s="411">
        <f>'C6-FinPos'!F40</f>
        <v>52704946</v>
      </c>
      <c r="G39" s="218"/>
      <c r="H39" s="218"/>
      <c r="I39" s="220"/>
      <c r="J39" s="652">
        <f>'C6-FinPos'!G40</f>
        <v>0</v>
      </c>
    </row>
    <row r="40" spans="1:10" ht="12.75" customHeight="1" x14ac:dyDescent="0.25">
      <c r="A40" s="593" t="s">
        <v>167</v>
      </c>
      <c r="B40" s="675">
        <f>'C6-FinPos'!C48</f>
        <v>500716049</v>
      </c>
      <c r="C40" s="676">
        <f>'C6-FinPos'!D48</f>
        <v>569085639.30250227</v>
      </c>
      <c r="D40" s="647">
        <f>'C6-FinPos'!E48</f>
        <v>1037630596.7614646</v>
      </c>
      <c r="E40" s="411"/>
      <c r="F40" s="647">
        <f>'C6-FinPos'!F48</f>
        <v>533961705</v>
      </c>
      <c r="G40" s="605"/>
      <c r="H40" s="605"/>
      <c r="I40" s="606"/>
      <c r="J40" s="651">
        <f>'C6-FinPos'!G48</f>
        <v>0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59229367</v>
      </c>
      <c r="C43" s="659">
        <f>'C7-CFlow'!D18</f>
        <v>94062535.941542268</v>
      </c>
      <c r="D43" s="411">
        <f>'C7-CFlow'!E18</f>
        <v>14699440.3046</v>
      </c>
      <c r="E43" s="411">
        <f>'C7-CFlow'!F18</f>
        <v>-12330270</v>
      </c>
      <c r="F43" s="411">
        <f>'C7-CFlow'!G18</f>
        <v>45394560.647996038</v>
      </c>
      <c r="G43" s="660">
        <f>'C7-CFlow'!H18</f>
        <v>51216275.623071134</v>
      </c>
      <c r="H43" s="411">
        <f>G43-F43</f>
        <v>5821714.9750750959</v>
      </c>
      <c r="I43" s="208">
        <f>IF(H43=0,"",H43/G43)</f>
        <v>0.11366923705894416</v>
      </c>
      <c r="J43" s="652">
        <f>'C7-CFlow'!K18</f>
        <v>0</v>
      </c>
    </row>
    <row r="44" spans="1:10" ht="12.75" customHeight="1" x14ac:dyDescent="0.25">
      <c r="A44" s="153" t="s">
        <v>796</v>
      </c>
      <c r="B44" s="658">
        <f>'C7-CFlow'!C28</f>
        <v>-39628097</v>
      </c>
      <c r="C44" s="659">
        <f>'C7-CFlow'!D28</f>
        <v>-59132800.720959991</v>
      </c>
      <c r="D44" s="411">
        <f>'C7-CFlow'!E28</f>
        <v>-67694000</v>
      </c>
      <c r="E44" s="411">
        <f>'C7-CFlow'!F28</f>
        <v>-6338423</v>
      </c>
      <c r="F44" s="411">
        <f>'C7-CFlow'!G28</f>
        <v>-36357717</v>
      </c>
      <c r="G44" s="660">
        <f>'C7-CFlow'!H28</f>
        <v>-29566400.360479996</v>
      </c>
      <c r="H44" s="411">
        <f>G44-F44</f>
        <v>6791316.6395200044</v>
      </c>
      <c r="I44" s="208">
        <f>IF(H44=0,"",H44/G44)</f>
        <v>-0.22969710741648602</v>
      </c>
      <c r="J44" s="652">
        <f>'C7-CFlow'!K28</f>
        <v>0</v>
      </c>
    </row>
    <row r="45" spans="1:10" ht="12.75" customHeight="1" x14ac:dyDescent="0.25">
      <c r="A45" s="153" t="s">
        <v>794</v>
      </c>
      <c r="B45" s="658">
        <f>'C7-CFlow'!C37</f>
        <v>-5285995</v>
      </c>
      <c r="C45" s="659">
        <f>'C7-CFlow'!D37</f>
        <v>-2200000</v>
      </c>
      <c r="D45" s="411">
        <f>'C7-CFlow'!E37</f>
        <v>400000</v>
      </c>
      <c r="E45" s="411">
        <f>'C7-CFlow'!F37</f>
        <v>0</v>
      </c>
      <c r="F45" s="411">
        <f>'C7-CFlow'!G37</f>
        <v>0</v>
      </c>
      <c r="G45" s="660">
        <f>'C7-CFlow'!H37</f>
        <v>-1100000</v>
      </c>
      <c r="H45" s="411">
        <f>G45-F45</f>
        <v>-1100000</v>
      </c>
      <c r="I45" s="208">
        <f>IF(H45=0,"",H45/G45)</f>
        <v>1</v>
      </c>
      <c r="J45" s="652">
        <f>'C7-CFlow'!K37</f>
        <v>0</v>
      </c>
    </row>
    <row r="46" spans="1:10" ht="12.75" customHeight="1" x14ac:dyDescent="0.25">
      <c r="A46" s="154" t="s">
        <v>57</v>
      </c>
      <c r="B46" s="675">
        <f>'C7-CFlow'!C41</f>
        <v>18146144</v>
      </c>
      <c r="C46" s="676">
        <f>'C7-CFlow'!D41</f>
        <v>50876228.220582277</v>
      </c>
      <c r="D46" s="647">
        <f>'C7-CFlow'!E41</f>
        <v>-15936766.597404197</v>
      </c>
      <c r="E46" s="647">
        <f>'C7-CFlow'!F41</f>
        <v>0</v>
      </c>
      <c r="F46" s="647">
        <f>'C7-CFlow'!G41</f>
        <v>16024843.647996038</v>
      </c>
      <c r="G46" s="677">
        <f>'C7-CFlow'!H41</f>
        <v>57207668.360586941</v>
      </c>
      <c r="H46" s="647">
        <f>G46-F46</f>
        <v>41182824.712590903</v>
      </c>
      <c r="I46" s="207">
        <f>IF(H46=0,"",H46/G46)</f>
        <v>0.71988294389155161</v>
      </c>
      <c r="J46" s="651">
        <f>'C7-CFlow'!K41</f>
        <v>6988000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0</v>
      </c>
      <c r="C50" s="659">
        <f>'SC3'!D14</f>
        <v>0</v>
      </c>
      <c r="D50" s="411">
        <f>'SC3'!E14</f>
        <v>0</v>
      </c>
      <c r="E50" s="411">
        <f>'SC3'!F14</f>
        <v>0</v>
      </c>
      <c r="F50" s="411">
        <f>'SC3'!G14</f>
        <v>0</v>
      </c>
      <c r="G50" s="660">
        <f>'SC3'!H14</f>
        <v>0</v>
      </c>
      <c r="H50" s="411">
        <f>'SC3'!I14</f>
        <v>0</v>
      </c>
      <c r="I50" s="660">
        <f>'SC3'!J14</f>
        <v>0</v>
      </c>
      <c r="J50" s="652">
        <f>'SC3'!K14</f>
        <v>0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6288518</v>
      </c>
      <c r="C52" s="659">
        <f>'SC4'!D15</f>
        <v>-3505974</v>
      </c>
      <c r="D52" s="411">
        <f>'SC4'!E15</f>
        <v>227553</v>
      </c>
      <c r="E52" s="411">
        <f>'SC4'!F15</f>
        <v>-16633</v>
      </c>
      <c r="F52" s="411">
        <f>'SC4'!G15</f>
        <v>-158458</v>
      </c>
      <c r="G52" s="660">
        <f>'SC4'!H15</f>
        <v>-46443</v>
      </c>
      <c r="H52" s="411">
        <f>'SC4'!I15</f>
        <v>621389</v>
      </c>
      <c r="I52" s="660">
        <f>'SC4'!J15</f>
        <v>0</v>
      </c>
      <c r="J52" s="652">
        <f>'SC4'!K15</f>
        <v>3409952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77"/>
      <c r="B55" s="977"/>
      <c r="C55" s="977"/>
      <c r="D55" s="977"/>
      <c r="E55" s="977"/>
      <c r="F55" s="977"/>
      <c r="G55" s="977"/>
      <c r="H55" s="977"/>
      <c r="I55" s="977"/>
      <c r="J55" s="977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tabSelected="1" view="pageBreakPreview" zoomScaleNormal="100" zoomScaleSheetLayoutView="100" workbookViewId="0">
      <pane xSplit="2" ySplit="4" topLeftCell="C8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87" t="str">
        <f>muni&amp; " - "&amp;S71A&amp; " - "&amp;date</f>
        <v>NW385 Ramotshere Moiloa - Table C2 Monthly Budget Statement - Financial Performance (standard classification) - M10 April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8" x14ac:dyDescent="0.25">
      <c r="A2" s="985" t="str">
        <f>desc</f>
        <v>Description</v>
      </c>
      <c r="B2" s="983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6"/>
      <c r="B3" s="984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133771978</v>
      </c>
      <c r="D6" s="679">
        <f t="shared" si="0"/>
        <v>119231552.30064</v>
      </c>
      <c r="E6" s="647">
        <f t="shared" si="0"/>
        <v>120356985.43000001</v>
      </c>
      <c r="F6" s="647">
        <f t="shared" si="0"/>
        <v>2248626</v>
      </c>
      <c r="G6" s="647">
        <f t="shared" si="0"/>
        <v>89826674.430000007</v>
      </c>
      <c r="H6" s="647">
        <f t="shared" si="0"/>
        <v>79487701.533759996</v>
      </c>
      <c r="I6" s="48">
        <f t="shared" ref="I6:I13" si="1">G6-H6</f>
        <v>10338972.896240011</v>
      </c>
      <c r="J6" s="201">
        <f>IF(I6=0,"",I6/H6)</f>
        <v>0.13007009508066911</v>
      </c>
      <c r="K6" s="651">
        <f>SUM(K7:K9)</f>
        <v>0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1515982</v>
      </c>
      <c r="D7" s="680">
        <f>'C2C'!D7</f>
        <v>44782000</v>
      </c>
      <c r="E7" s="411">
        <f>'C2C'!E7</f>
        <v>45492491.390000001</v>
      </c>
      <c r="F7" s="411">
        <f>'C2C'!F7</f>
        <v>32750</v>
      </c>
      <c r="G7" s="411">
        <f>'C2C'!G7</f>
        <v>19402555.539999999</v>
      </c>
      <c r="H7" s="411">
        <f>'C2C'!H7</f>
        <v>29854666.666666664</v>
      </c>
      <c r="I7" s="48">
        <f t="shared" si="1"/>
        <v>-10452111.126666665</v>
      </c>
      <c r="J7" s="201">
        <f t="shared" ref="J7:J26" si="2">IF(I7=0,"",I7/H7)</f>
        <v>-0.35009974297708901</v>
      </c>
      <c r="K7" s="652">
        <f>'C2C'!K7</f>
        <v>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130076127</v>
      </c>
      <c r="D8" s="681">
        <f>'C2C'!D10</f>
        <v>52626552.300640002</v>
      </c>
      <c r="E8" s="682">
        <f>'C2C'!E10</f>
        <v>53041494</v>
      </c>
      <c r="F8" s="682">
        <f>'C2C'!F10</f>
        <v>2214376</v>
      </c>
      <c r="G8" s="682">
        <f>'C2C'!G10</f>
        <v>59285740.890000001</v>
      </c>
      <c r="H8" s="682">
        <f>'C2C'!H10</f>
        <v>35084368.200426668</v>
      </c>
      <c r="I8" s="48">
        <f t="shared" si="1"/>
        <v>24201372.689573333</v>
      </c>
      <c r="J8" s="201">
        <f t="shared" si="2"/>
        <v>0.68980500236794962</v>
      </c>
      <c r="K8" s="683">
        <f>'C2C'!K10</f>
        <v>0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2179869</v>
      </c>
      <c r="D9" s="680">
        <f>'C2C'!D11</f>
        <v>21823000</v>
      </c>
      <c r="E9" s="411">
        <f>'C2C'!E11</f>
        <v>21823000.039999999</v>
      </c>
      <c r="F9" s="411">
        <f>'C2C'!F11</f>
        <v>1500</v>
      </c>
      <c r="G9" s="411">
        <f>'C2C'!G11</f>
        <v>11138378</v>
      </c>
      <c r="H9" s="411">
        <f>'C2C'!H11</f>
        <v>14548666.666666668</v>
      </c>
      <c r="I9" s="48">
        <f t="shared" si="1"/>
        <v>-3410288.6666666679</v>
      </c>
      <c r="J9" s="201">
        <f t="shared" si="2"/>
        <v>-0.23440558126747016</v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2182889</v>
      </c>
      <c r="D10" s="679">
        <f t="shared" si="3"/>
        <v>31240208.12185999</v>
      </c>
      <c r="E10" s="647">
        <f t="shared" si="3"/>
        <v>21696071.32</v>
      </c>
      <c r="F10" s="647">
        <f t="shared" si="3"/>
        <v>0</v>
      </c>
      <c r="G10" s="647">
        <f t="shared" si="3"/>
        <v>14055258.960000001</v>
      </c>
      <c r="H10" s="647">
        <f t="shared" si="3"/>
        <v>20826805.414573323</v>
      </c>
      <c r="I10" s="48">
        <f t="shared" si="1"/>
        <v>-6771546.4545733221</v>
      </c>
      <c r="J10" s="201">
        <f t="shared" si="2"/>
        <v>-0.3251361080002701</v>
      </c>
      <c r="K10" s="651">
        <f>SUM(K11:K15)</f>
        <v>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2182889</v>
      </c>
      <c r="D11" s="680">
        <f>'C2C'!D17</f>
        <v>28238208.12185999</v>
      </c>
      <c r="E11" s="411">
        <f>'C2C'!E17</f>
        <v>18694071.32</v>
      </c>
      <c r="F11" s="411">
        <f>'C2C'!F17</f>
        <v>0</v>
      </c>
      <c r="G11" s="411">
        <f>'C2C'!G17</f>
        <v>12804317.810000001</v>
      </c>
      <c r="H11" s="411">
        <f>'C2C'!H17</f>
        <v>18825472.081239991</v>
      </c>
      <c r="I11" s="48">
        <f t="shared" si="1"/>
        <v>-6021154.2712399904</v>
      </c>
      <c r="J11" s="201">
        <f t="shared" si="2"/>
        <v>-0.31984081170746348</v>
      </c>
      <c r="K11" s="652">
        <f>'C2C'!K17</f>
        <v>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3002000</v>
      </c>
      <c r="E12" s="411">
        <f>'C2C'!E26</f>
        <v>3002000</v>
      </c>
      <c r="F12" s="411">
        <f>'C2C'!F26</f>
        <v>0</v>
      </c>
      <c r="G12" s="411">
        <f>'C2C'!G26</f>
        <v>1250941.1499999999</v>
      </c>
      <c r="H12" s="411">
        <f>'C2C'!H26</f>
        <v>2001333.3333333333</v>
      </c>
      <c r="I12" s="48">
        <f t="shared" si="1"/>
        <v>-750392.18333333335</v>
      </c>
      <c r="J12" s="201">
        <f t="shared" si="2"/>
        <v>-0.37494612758161228</v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58835752</v>
      </c>
      <c r="D16" s="679">
        <f t="shared" si="6"/>
        <v>115833776.59865999</v>
      </c>
      <c r="E16" s="647">
        <f t="shared" si="6"/>
        <v>99521818.640000001</v>
      </c>
      <c r="F16" s="647">
        <f t="shared" si="6"/>
        <v>335719</v>
      </c>
      <c r="G16" s="647">
        <f t="shared" si="6"/>
        <v>37928628.82</v>
      </c>
      <c r="H16" s="647">
        <f t="shared" si="6"/>
        <v>77222517.732439995</v>
      </c>
      <c r="I16" s="48">
        <f t="shared" si="4"/>
        <v>-39293888.912439995</v>
      </c>
      <c r="J16" s="201">
        <f t="shared" si="5"/>
        <v>-0.50883977972053651</v>
      </c>
      <c r="K16" s="651">
        <f>SUM(K17:K19)</f>
        <v>0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49394052</v>
      </c>
      <c r="D17" s="680">
        <f>'C2C'!D39</f>
        <v>63649955.933760002</v>
      </c>
      <c r="E17" s="411">
        <f>'C2C'!E39</f>
        <v>60895525.600000001</v>
      </c>
      <c r="F17" s="411">
        <f>'C2C'!F39</f>
        <v>0</v>
      </c>
      <c r="G17" s="411">
        <f>'C2C'!G39</f>
        <v>24737833.630000003</v>
      </c>
      <c r="H17" s="411">
        <f>'C2C'!H39</f>
        <v>42433303.955839999</v>
      </c>
      <c r="I17" s="48">
        <f t="shared" si="4"/>
        <v>-17695470.325839996</v>
      </c>
      <c r="J17" s="201">
        <f t="shared" si="5"/>
        <v>-0.4170184425010961</v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9441700</v>
      </c>
      <c r="D18" s="680">
        <f>'C2C'!D43</f>
        <v>52183820.664899997</v>
      </c>
      <c r="E18" s="411">
        <f>'C2C'!E43</f>
        <v>38626293.039999999</v>
      </c>
      <c r="F18" s="411">
        <f>'C2C'!F43</f>
        <v>335719</v>
      </c>
      <c r="G18" s="411">
        <f>'C2C'!G43</f>
        <v>13190795.189999999</v>
      </c>
      <c r="H18" s="411">
        <f>'C2C'!H43</f>
        <v>34789213.776599996</v>
      </c>
      <c r="I18" s="48">
        <f t="shared" si="4"/>
        <v>-21598418.586599998</v>
      </c>
      <c r="J18" s="201">
        <f t="shared" si="5"/>
        <v>-0.62083663992221572</v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64782904</v>
      </c>
      <c r="D20" s="679">
        <f t="shared" ref="D20:I20" si="7">SUM(D21:D24)</f>
        <v>95903298.491644159</v>
      </c>
      <c r="E20" s="647">
        <f t="shared" si="7"/>
        <v>109409374</v>
      </c>
      <c r="F20" s="647">
        <f t="shared" si="7"/>
        <v>5139061</v>
      </c>
      <c r="G20" s="647">
        <f t="shared" si="7"/>
        <v>76828437.120000005</v>
      </c>
      <c r="H20" s="647">
        <f t="shared" si="7"/>
        <v>63935532.327762783</v>
      </c>
      <c r="I20" s="48">
        <f t="shared" si="7"/>
        <v>12892904.792237233</v>
      </c>
      <c r="J20" s="201">
        <f t="shared" si="2"/>
        <v>0.20165476571215996</v>
      </c>
      <c r="K20" s="651">
        <f>SUM(K21:K24)</f>
        <v>0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49236075</v>
      </c>
      <c r="D21" s="680">
        <f>'C2C'!D54</f>
        <v>65237273.147540003</v>
      </c>
      <c r="E21" s="411">
        <f>'C2C'!E54</f>
        <v>76810864</v>
      </c>
      <c r="F21" s="411">
        <f>'C2C'!F54</f>
        <v>3637796</v>
      </c>
      <c r="G21" s="411">
        <f>'C2C'!G54</f>
        <v>55959540.82</v>
      </c>
      <c r="H21" s="411">
        <f>'C2C'!H54</f>
        <v>43491515.431693338</v>
      </c>
      <c r="I21" s="48">
        <f>G21-H21</f>
        <v>12468025.388306662</v>
      </c>
      <c r="J21" s="201">
        <f t="shared" si="2"/>
        <v>0.28667718897697703</v>
      </c>
      <c r="K21" s="652">
        <f>'C2C'!K54</f>
        <v>0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7694240</v>
      </c>
      <c r="D22" s="680">
        <f>'C2C'!D57</f>
        <v>11481531.527840002</v>
      </c>
      <c r="E22" s="411">
        <f>'C2C'!E57</f>
        <v>13480053</v>
      </c>
      <c r="F22" s="411">
        <f>'C2C'!F57</f>
        <v>646680</v>
      </c>
      <c r="G22" s="411">
        <f>'C2C'!G57</f>
        <v>10174832.860000011</v>
      </c>
      <c r="H22" s="411">
        <f>'C2C'!H57</f>
        <v>7654354.3518933346</v>
      </c>
      <c r="I22" s="48">
        <f>G22-H22</f>
        <v>2520478.5081066759</v>
      </c>
      <c r="J22" s="201">
        <f t="shared" si="2"/>
        <v>0.32928688589955674</v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1999528</v>
      </c>
      <c r="D23" s="681">
        <f>'C2C'!D60</f>
        <v>5163528.8162641581</v>
      </c>
      <c r="E23" s="682">
        <f>'C2C'!E60</f>
        <v>4983103</v>
      </c>
      <c r="F23" s="682">
        <f>'C2C'!F60</f>
        <v>206004</v>
      </c>
      <c r="G23" s="682">
        <f>'C2C'!G60</f>
        <v>2053756.14</v>
      </c>
      <c r="H23" s="682">
        <f>'C2C'!H60</f>
        <v>3442352.5441761054</v>
      </c>
      <c r="I23" s="48">
        <f>G23-H23</f>
        <v>-1388596.4041761055</v>
      </c>
      <c r="J23" s="201">
        <f t="shared" si="2"/>
        <v>-0.40338587822022537</v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5853061</v>
      </c>
      <c r="D24" s="680">
        <f>'C2C'!D64</f>
        <v>14020965</v>
      </c>
      <c r="E24" s="411">
        <f>'C2C'!E64</f>
        <v>14135354</v>
      </c>
      <c r="F24" s="411">
        <f>'C2C'!F64</f>
        <v>648581</v>
      </c>
      <c r="G24" s="411">
        <f>'C2C'!G64</f>
        <v>8640307.3000000007</v>
      </c>
      <c r="H24" s="411">
        <f>'C2C'!H64</f>
        <v>9347310</v>
      </c>
      <c r="I24" s="48">
        <f>G24-H24</f>
        <v>-707002.69999999925</v>
      </c>
      <c r="J24" s="201">
        <f t="shared" si="2"/>
        <v>-7.5637022844005308E-2</v>
      </c>
      <c r="K24" s="652">
        <f>'C2C'!K64</f>
        <v>0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259573523</v>
      </c>
      <c r="D26" s="608">
        <f t="shared" ref="D26:I26" si="8">D6+D10+D16+D20+D25</f>
        <v>362208835.51280415</v>
      </c>
      <c r="E26" s="549">
        <f t="shared" si="8"/>
        <v>350984249.38999999</v>
      </c>
      <c r="F26" s="549">
        <f t="shared" si="8"/>
        <v>7723406</v>
      </c>
      <c r="G26" s="549">
        <f t="shared" si="8"/>
        <v>218638999.33000001</v>
      </c>
      <c r="H26" s="549">
        <f t="shared" si="8"/>
        <v>241472557.0085361</v>
      </c>
      <c r="I26" s="549">
        <f t="shared" si="8"/>
        <v>-22833557.678536076</v>
      </c>
      <c r="J26" s="609">
        <f t="shared" si="2"/>
        <v>-9.4559638417747421E-2</v>
      </c>
      <c r="K26" s="607">
        <f>K6+K10+K16+K20+K25</f>
        <v>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222905658</v>
      </c>
      <c r="D29" s="679">
        <f t="shared" si="9"/>
        <v>117836231.25680906</v>
      </c>
      <c r="E29" s="647">
        <f t="shared" si="9"/>
        <v>129336127.53999999</v>
      </c>
      <c r="F29" s="647">
        <f t="shared" si="9"/>
        <v>6199038.5500000007</v>
      </c>
      <c r="G29" s="647">
        <f t="shared" si="9"/>
        <v>81411713.659999996</v>
      </c>
      <c r="H29" s="647">
        <f t="shared" si="9"/>
        <v>78557487.504539371</v>
      </c>
      <c r="I29" s="48">
        <f t="shared" ref="I29:I48" si="10">G29-H29</f>
        <v>2854226.1554606259</v>
      </c>
      <c r="J29" s="201">
        <f>IF(I29=0,"",I29/H29)</f>
        <v>3.6332961327151622E-2</v>
      </c>
      <c r="K29" s="651">
        <f>SUM(K30:K32)</f>
        <v>0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22018516</v>
      </c>
      <c r="D30" s="680">
        <f>'C2C'!D76</f>
        <v>33075578.289715648</v>
      </c>
      <c r="E30" s="411">
        <f>'C2C'!E76</f>
        <v>33036075.25</v>
      </c>
      <c r="F30" s="411">
        <f>'C2C'!F76</f>
        <v>2770511.6900000004</v>
      </c>
      <c r="G30" s="411">
        <f>'C2C'!G76</f>
        <v>28138201.140000001</v>
      </c>
      <c r="H30" s="411">
        <f>'C2C'!H76</f>
        <v>22050385.526477098</v>
      </c>
      <c r="I30" s="48">
        <f t="shared" si="10"/>
        <v>6087815.6135229021</v>
      </c>
      <c r="J30" s="201">
        <f t="shared" ref="J30:J49" si="12">IF(I30=0,"",I30/H30)</f>
        <v>0.27608658389273649</v>
      </c>
      <c r="K30" s="652">
        <f>'C2C'!K76</f>
        <v>0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82093804</v>
      </c>
      <c r="D31" s="681">
        <f>'C2C'!D79</f>
        <v>59787449.517633408</v>
      </c>
      <c r="E31" s="682">
        <f>'C2C'!E79</f>
        <v>71789939.469999999</v>
      </c>
      <c r="F31" s="682">
        <f>'C2C'!F79</f>
        <v>2126076.71</v>
      </c>
      <c r="G31" s="682">
        <f>'C2C'!G79</f>
        <v>35693773.490000002</v>
      </c>
      <c r="H31" s="682">
        <f>'C2C'!H79</f>
        <v>39858299.678422272</v>
      </c>
      <c r="I31" s="48">
        <f t="shared" si="10"/>
        <v>-4164526.1884222701</v>
      </c>
      <c r="J31" s="201">
        <f t="shared" si="12"/>
        <v>-0.10448328759685607</v>
      </c>
      <c r="K31" s="683">
        <f>'C2C'!K79</f>
        <v>0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118793338</v>
      </c>
      <c r="D32" s="680">
        <f>'C2C'!D80</f>
        <v>24973203.449460004</v>
      </c>
      <c r="E32" s="411">
        <f>'C2C'!E80</f>
        <v>24510112.82</v>
      </c>
      <c r="F32" s="411">
        <f>'C2C'!F80</f>
        <v>1302450.1499999999</v>
      </c>
      <c r="G32" s="411">
        <f>'C2C'!G80</f>
        <v>17579739.030000001</v>
      </c>
      <c r="H32" s="411">
        <f>'C2C'!H80</f>
        <v>16648802.29964</v>
      </c>
      <c r="I32" s="48">
        <f t="shared" si="10"/>
        <v>930936.73036000133</v>
      </c>
      <c r="J32" s="201">
        <f t="shared" si="12"/>
        <v>5.5916138206538207E-2</v>
      </c>
      <c r="K32" s="652">
        <f>'C2C'!K80</f>
        <v>0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3872955</v>
      </c>
      <c r="D33" s="679">
        <f t="shared" si="13"/>
        <v>5990704.3318699999</v>
      </c>
      <c r="E33" s="647">
        <f t="shared" si="13"/>
        <v>25193308.800000001</v>
      </c>
      <c r="F33" s="647">
        <f t="shared" si="13"/>
        <v>1470733.2999999998</v>
      </c>
      <c r="G33" s="647">
        <f t="shared" si="13"/>
        <v>7525596.9500000002</v>
      </c>
      <c r="H33" s="647">
        <f t="shared" si="13"/>
        <v>3993802.8879133333</v>
      </c>
      <c r="I33" s="48">
        <f t="shared" si="10"/>
        <v>3531794.0620866669</v>
      </c>
      <c r="J33" s="201">
        <f t="shared" si="12"/>
        <v>0.88431857084763266</v>
      </c>
      <c r="K33" s="651">
        <f>SUM(K34:K38)</f>
        <v>0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2308290.1038000002</v>
      </c>
      <c r="E34" s="411">
        <f>'C2C'!E86</f>
        <v>21805121.800000001</v>
      </c>
      <c r="F34" s="411">
        <f>'C2C'!F86</f>
        <v>1097538.8799999999</v>
      </c>
      <c r="G34" s="411">
        <f>'C2C'!G86</f>
        <v>4191233.83</v>
      </c>
      <c r="H34" s="411">
        <f>'C2C'!H86</f>
        <v>1538860.0692000003</v>
      </c>
      <c r="I34" s="48">
        <f t="shared" si="10"/>
        <v>2652373.7607999998</v>
      </c>
      <c r="J34" s="201">
        <f t="shared" si="12"/>
        <v>1.7235964555106538</v>
      </c>
      <c r="K34" s="652">
        <f>'C2C'!K86</f>
        <v>0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3872955</v>
      </c>
      <c r="D35" s="680">
        <f>'C2C'!D95</f>
        <v>3682414.2280699997</v>
      </c>
      <c r="E35" s="411">
        <f>'C2C'!E95</f>
        <v>3388187</v>
      </c>
      <c r="F35" s="411">
        <f>'C2C'!F95</f>
        <v>373194.42</v>
      </c>
      <c r="G35" s="411">
        <f>'C2C'!G95</f>
        <v>3334363.12</v>
      </c>
      <c r="H35" s="411">
        <f>'C2C'!H95</f>
        <v>2454942.818713333</v>
      </c>
      <c r="I35" s="48">
        <f t="shared" si="10"/>
        <v>879420.30128666712</v>
      </c>
      <c r="J35" s="201">
        <f t="shared" si="12"/>
        <v>0.35822435234869648</v>
      </c>
      <c r="K35" s="652">
        <f>'C2C'!K95</f>
        <v>0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22716466</v>
      </c>
      <c r="D39" s="679">
        <f t="shared" si="14"/>
        <v>57088684.211060002</v>
      </c>
      <c r="E39" s="647">
        <f t="shared" si="14"/>
        <v>66942388.979894966</v>
      </c>
      <c r="F39" s="647">
        <f t="shared" si="14"/>
        <v>3915422.7900000005</v>
      </c>
      <c r="G39" s="647">
        <f t="shared" si="14"/>
        <v>39786541.060000002</v>
      </c>
      <c r="H39" s="647">
        <f t="shared" si="14"/>
        <v>38059122.807373345</v>
      </c>
      <c r="I39" s="48">
        <f t="shared" si="10"/>
        <v>1727418.2526266575</v>
      </c>
      <c r="J39" s="201">
        <f t="shared" si="12"/>
        <v>4.5387757919948639E-2</v>
      </c>
      <c r="K39" s="651">
        <f>SUM(K40:K42)</f>
        <v>0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13615925.372650001</v>
      </c>
      <c r="E40" s="411">
        <f>'C2C'!E108</f>
        <v>49029837.520000003</v>
      </c>
      <c r="F40" s="411">
        <f>'C2C'!F108</f>
        <v>2662365.9400000004</v>
      </c>
      <c r="G40" s="411">
        <f>'C2C'!G108</f>
        <v>23461737.420000002</v>
      </c>
      <c r="H40" s="411">
        <f>'C2C'!H108</f>
        <v>9077283.5817666687</v>
      </c>
      <c r="I40" s="48">
        <f t="shared" si="10"/>
        <v>14384453.838233333</v>
      </c>
      <c r="J40" s="201">
        <f t="shared" si="12"/>
        <v>1.5846650276661021</v>
      </c>
      <c r="K40" s="652">
        <f>'C2C'!K108</f>
        <v>0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22716466</v>
      </c>
      <c r="D41" s="680">
        <f>'C2C'!D112</f>
        <v>43472758.838410005</v>
      </c>
      <c r="E41" s="411">
        <f>'C2C'!E112</f>
        <v>17912551.459894959</v>
      </c>
      <c r="F41" s="411">
        <f>'C2C'!F112</f>
        <v>1253056.8500000001</v>
      </c>
      <c r="G41" s="411">
        <f>'C2C'!G112</f>
        <v>16324803.639999999</v>
      </c>
      <c r="H41" s="411">
        <f>'C2C'!H112</f>
        <v>28981839.225606672</v>
      </c>
      <c r="I41" s="48">
        <f t="shared" si="10"/>
        <v>-12657035.585606674</v>
      </c>
      <c r="J41" s="201">
        <f t="shared" si="12"/>
        <v>-0.43672299356431632</v>
      </c>
      <c r="K41" s="652">
        <f>'C2C'!K112</f>
        <v>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35379867</v>
      </c>
      <c r="D43" s="679">
        <f t="shared" ref="D43:I43" si="15">SUM(D44:D47)</f>
        <v>75590192.595104992</v>
      </c>
      <c r="E43" s="647">
        <f t="shared" si="15"/>
        <v>61817989</v>
      </c>
      <c r="F43" s="647">
        <f t="shared" si="15"/>
        <v>5394046.3399999999</v>
      </c>
      <c r="G43" s="647">
        <f t="shared" si="15"/>
        <v>38666929.260000005</v>
      </c>
      <c r="H43" s="647">
        <f t="shared" si="15"/>
        <v>50393461.730070002</v>
      </c>
      <c r="I43" s="48">
        <f t="shared" si="15"/>
        <v>-11726532.470070001</v>
      </c>
      <c r="J43" s="201">
        <f t="shared" si="12"/>
        <v>-0.23269948258134301</v>
      </c>
      <c r="K43" s="651">
        <f>SUM(K44:K47)</f>
        <v>0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35132052</v>
      </c>
      <c r="D44" s="680">
        <f>'C2C'!D123</f>
        <v>48889529.2445933</v>
      </c>
      <c r="E44" s="411">
        <f>'C2C'!E123</f>
        <v>51580241</v>
      </c>
      <c r="F44" s="411">
        <f>'C2C'!F123</f>
        <v>3209756.16</v>
      </c>
      <c r="G44" s="411">
        <f>'C2C'!G123</f>
        <v>20486650.489999998</v>
      </c>
      <c r="H44" s="411">
        <f>'C2C'!H123</f>
        <v>32593019.496395532</v>
      </c>
      <c r="I44" s="48">
        <f t="shared" si="10"/>
        <v>-12106369.006395534</v>
      </c>
      <c r="J44" s="201">
        <f t="shared" si="12"/>
        <v>-0.37144054749926986</v>
      </c>
      <c r="K44" s="652">
        <f>'C2C'!K123</f>
        <v>0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150566</v>
      </c>
      <c r="D45" s="680">
        <f>'C2C'!D126</f>
        <v>7941888.9834000003</v>
      </c>
      <c r="E45" s="411">
        <f>'C2C'!E126</f>
        <v>-8865082</v>
      </c>
      <c r="F45" s="411">
        <f>'C2C'!F126</f>
        <v>980433</v>
      </c>
      <c r="G45" s="411">
        <f>'C2C'!G126</f>
        <v>6328731.9000000004</v>
      </c>
      <c r="H45" s="411">
        <f>'C2C'!H126</f>
        <v>5294592.6556000002</v>
      </c>
      <c r="I45" s="48">
        <f t="shared" si="10"/>
        <v>1034139.2444000002</v>
      </c>
      <c r="J45" s="201">
        <f t="shared" si="12"/>
        <v>0.19531988798160116</v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12540437.093828721</v>
      </c>
      <c r="E46" s="682">
        <f>'C2C'!E129</f>
        <v>12271999</v>
      </c>
      <c r="F46" s="682">
        <f>'C2C'!F129</f>
        <v>826576.67000000016</v>
      </c>
      <c r="G46" s="682">
        <f>'C2C'!G129</f>
        <v>8282213.3399999999</v>
      </c>
      <c r="H46" s="682">
        <f>'C2C'!H129</f>
        <v>8360291.395885814</v>
      </c>
      <c r="I46" s="48">
        <f t="shared" si="10"/>
        <v>-78078.05588581413</v>
      </c>
      <c r="J46" s="201">
        <f t="shared" si="12"/>
        <v>-9.3391548438415857E-3</v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97249</v>
      </c>
      <c r="D47" s="680">
        <f>'C2C'!D133</f>
        <v>6218337.2732829805</v>
      </c>
      <c r="E47" s="411">
        <f>'C2C'!E133</f>
        <v>6830831</v>
      </c>
      <c r="F47" s="411">
        <f>'C2C'!F133</f>
        <v>377280.51</v>
      </c>
      <c r="G47" s="411">
        <f>'C2C'!G133</f>
        <v>3569333.5300000003</v>
      </c>
      <c r="H47" s="411">
        <f>'C2C'!H133</f>
        <v>4145558.1821886539</v>
      </c>
      <c r="I47" s="48">
        <f t="shared" si="10"/>
        <v>-576224.65218865359</v>
      </c>
      <c r="J47" s="201">
        <f t="shared" si="12"/>
        <v>-0.13899808587041346</v>
      </c>
      <c r="K47" s="652">
        <f>'C2C'!K133</f>
        <v>0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284874946</v>
      </c>
      <c r="D49" s="608">
        <f t="shared" ref="D49:I49" si="16">D29+D33+D39+D43+D48</f>
        <v>256505812.39484406</v>
      </c>
      <c r="E49" s="549">
        <f t="shared" si="16"/>
        <v>283289814.31989497</v>
      </c>
      <c r="F49" s="549">
        <f t="shared" si="16"/>
        <v>16979240.98</v>
      </c>
      <c r="G49" s="549">
        <f t="shared" si="16"/>
        <v>167390780.93000001</v>
      </c>
      <c r="H49" s="549">
        <f t="shared" si="16"/>
        <v>171003874.92989606</v>
      </c>
      <c r="I49" s="549">
        <f t="shared" si="16"/>
        <v>-3613093.9998960504</v>
      </c>
      <c r="J49" s="609">
        <f t="shared" si="12"/>
        <v>-2.1128725892189622E-2</v>
      </c>
      <c r="K49" s="734">
        <f>K29+K33+K39+K43+K48</f>
        <v>0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-25301423</v>
      </c>
      <c r="D50" s="650">
        <f t="shared" si="17"/>
        <v>105703023.1179601</v>
      </c>
      <c r="E50" s="644">
        <f t="shared" si="17"/>
        <v>67694435.070105016</v>
      </c>
      <c r="F50" s="644">
        <f t="shared" si="17"/>
        <v>-9255834.9800000004</v>
      </c>
      <c r="G50" s="644">
        <f t="shared" si="17"/>
        <v>51248218.400000006</v>
      </c>
      <c r="H50" s="644">
        <f t="shared" si="17"/>
        <v>70468682.078640044</v>
      </c>
      <c r="I50" s="644">
        <f>I26-I49</f>
        <v>-19220463.678640027</v>
      </c>
      <c r="J50" s="648">
        <f>IF(I50=0,"",I50/H50)</f>
        <v>-0.2727518538971796</v>
      </c>
      <c r="K50" s="649">
        <f>K26-K49</f>
        <v>0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88" t="s">
        <v>172</v>
      </c>
      <c r="B55" s="988"/>
      <c r="C55" s="988"/>
      <c r="D55" s="988"/>
      <c r="E55" s="988"/>
      <c r="F55" s="988"/>
      <c r="G55" s="988"/>
      <c r="H55" s="988"/>
      <c r="I55" s="988"/>
      <c r="J55" s="988"/>
      <c r="K55" s="988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5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view="pageBreakPreview" zoomScaleNormal="100" zoomScaleSheetLayoutView="100" workbookViewId="0">
      <pane xSplit="2" ySplit="4" topLeftCell="C119" activePane="bottomRight" state="frozen"/>
      <selection pane="topRight"/>
      <selection pane="bottomLeft"/>
      <selection pane="bottomRight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87" t="str">
        <f>muni&amp; " - "&amp;S71A&amp; " - "&amp;date</f>
        <v>NW385 Ramotshere Moiloa - Table C2 Monthly Budget Statement - Financial Performance (standard classification) - M10 April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2" ht="13.5" customHeight="1" x14ac:dyDescent="0.25">
      <c r="A2" s="985" t="str">
        <f>desc</f>
        <v>Description</v>
      </c>
      <c r="B2" s="983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6"/>
      <c r="B3" s="984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133771978</v>
      </c>
      <c r="D6" s="615">
        <f t="shared" ref="D6:K6" si="0">D7+D10+D11</f>
        <v>119231552.30064</v>
      </c>
      <c r="E6" s="615">
        <f t="shared" si="0"/>
        <v>120356985.43000001</v>
      </c>
      <c r="F6" s="615">
        <f t="shared" si="0"/>
        <v>2248626</v>
      </c>
      <c r="G6" s="615">
        <f t="shared" si="0"/>
        <v>89826674.430000007</v>
      </c>
      <c r="H6" s="615">
        <f t="shared" si="0"/>
        <v>79487701.533759996</v>
      </c>
      <c r="I6" s="642">
        <f>G6-H6</f>
        <v>10338972.896240011</v>
      </c>
      <c r="J6" s="643">
        <f>IF(I6=0,"",I6/H6)</f>
        <v>0.13007009508066911</v>
      </c>
      <c r="K6" s="616">
        <f t="shared" si="0"/>
        <v>0</v>
      </c>
      <c r="L6" s="101"/>
    </row>
    <row r="7" spans="1:12" x14ac:dyDescent="0.25">
      <c r="A7" s="617" t="s">
        <v>118</v>
      </c>
      <c r="B7" s="418"/>
      <c r="C7" s="618">
        <f>SUM(C8:C9)</f>
        <v>1515982</v>
      </c>
      <c r="D7" s="618">
        <f t="shared" ref="D7:K7" si="1">SUM(D8:D9)</f>
        <v>44782000</v>
      </c>
      <c r="E7" s="618">
        <f t="shared" si="1"/>
        <v>45492491.390000001</v>
      </c>
      <c r="F7" s="618">
        <f>F8+F9</f>
        <v>32750</v>
      </c>
      <c r="G7" s="618">
        <f>G8+G9</f>
        <v>19402555.539999999</v>
      </c>
      <c r="H7" s="618">
        <f>H8+H9</f>
        <v>29854666.666666664</v>
      </c>
      <c r="I7" s="618">
        <f t="shared" ref="I7:I70" si="2">G7-H7</f>
        <v>-10452111.126666665</v>
      </c>
      <c r="J7" s="618">
        <f t="shared" ref="J7:J70" si="3">IF(I7=0,"",I7/H7)</f>
        <v>-0.35009974297708901</v>
      </c>
      <c r="K7" s="620">
        <f t="shared" si="1"/>
        <v>0</v>
      </c>
      <c r="L7" s="101"/>
    </row>
    <row r="8" spans="1:12" x14ac:dyDescent="0.25">
      <c r="A8" s="705" t="s">
        <v>194</v>
      </c>
      <c r="B8" s="418"/>
      <c r="C8" s="747"/>
      <c r="D8" s="747">
        <v>30180000</v>
      </c>
      <c r="E8" s="747">
        <v>30179999</v>
      </c>
      <c r="F8" s="747"/>
      <c r="G8" s="747">
        <v>12575098.689999999</v>
      </c>
      <c r="H8" s="747">
        <f>D8/12*8</f>
        <v>20120000</v>
      </c>
      <c r="I8" s="411">
        <f>G8-H8</f>
        <v>-7544901.3100000005</v>
      </c>
      <c r="J8" s="411">
        <f>IF(I8=0,"",I8/H8)</f>
        <v>-0.37499509493041749</v>
      </c>
      <c r="K8" s="749"/>
      <c r="L8" s="101"/>
    </row>
    <row r="9" spans="1:12" x14ac:dyDescent="0.25">
      <c r="A9" s="705" t="s">
        <v>195</v>
      </c>
      <c r="B9" s="418"/>
      <c r="C9" s="747">
        <v>1515982</v>
      </c>
      <c r="D9" s="747">
        <v>14602000</v>
      </c>
      <c r="E9" s="747">
        <v>15312492.390000001</v>
      </c>
      <c r="F9" s="747">
        <v>32750</v>
      </c>
      <c r="G9" s="747">
        <f>6794706.85+F9</f>
        <v>6827456.8499999996</v>
      </c>
      <c r="H9" s="747">
        <f>D9/12*8</f>
        <v>9734666.666666666</v>
      </c>
      <c r="I9" s="411">
        <f>G9-H9</f>
        <v>-2907209.8166666664</v>
      </c>
      <c r="J9" s="411">
        <f>IF(I9=0,"",I9/H9)</f>
        <v>-0.29864502979043966</v>
      </c>
      <c r="K9" s="749"/>
      <c r="L9" s="101"/>
    </row>
    <row r="10" spans="1:12" x14ac:dyDescent="0.25">
      <c r="A10" s="617" t="s">
        <v>119</v>
      </c>
      <c r="B10" s="418"/>
      <c r="C10" s="748">
        <v>130076127</v>
      </c>
      <c r="D10" s="748">
        <v>52626552.300640002</v>
      </c>
      <c r="E10" s="748">
        <v>53041494</v>
      </c>
      <c r="F10" s="748">
        <f>1349013+865363</f>
        <v>2214376</v>
      </c>
      <c r="G10" s="748">
        <f>57071364.89+F10</f>
        <v>59285740.890000001</v>
      </c>
      <c r="H10" s="748">
        <f>D10/12*8</f>
        <v>35084368.200426668</v>
      </c>
      <c r="I10" s="618">
        <f t="shared" si="2"/>
        <v>24201372.689573333</v>
      </c>
      <c r="J10" s="618">
        <f t="shared" si="3"/>
        <v>0.68980500236794962</v>
      </c>
      <c r="K10" s="750"/>
      <c r="L10" s="101"/>
    </row>
    <row r="11" spans="1:12" x14ac:dyDescent="0.25">
      <c r="A11" s="617" t="s">
        <v>120</v>
      </c>
      <c r="B11" s="418"/>
      <c r="C11" s="618">
        <f>SUM(C12:C15)</f>
        <v>2179869</v>
      </c>
      <c r="D11" s="618">
        <f t="shared" ref="D11:K11" si="4">SUM(D12:D15)</f>
        <v>21823000</v>
      </c>
      <c r="E11" s="618">
        <f t="shared" si="4"/>
        <v>21823000.039999999</v>
      </c>
      <c r="F11" s="618">
        <f t="shared" si="4"/>
        <v>1500</v>
      </c>
      <c r="G11" s="618">
        <f t="shared" si="4"/>
        <v>11138378</v>
      </c>
      <c r="H11" s="618">
        <f t="shared" si="4"/>
        <v>14548666.666666668</v>
      </c>
      <c r="I11" s="618">
        <f t="shared" si="2"/>
        <v>-3410288.6666666679</v>
      </c>
      <c r="J11" s="618">
        <f t="shared" si="3"/>
        <v>-0.23440558126747016</v>
      </c>
      <c r="K11" s="620">
        <f t="shared" si="4"/>
        <v>0</v>
      </c>
      <c r="L11" s="101"/>
    </row>
    <row r="12" spans="1:12" x14ac:dyDescent="0.25">
      <c r="A12" s="705" t="s">
        <v>196</v>
      </c>
      <c r="B12" s="418"/>
      <c r="C12" s="747">
        <v>2179869</v>
      </c>
      <c r="D12" s="747">
        <v>12738000</v>
      </c>
      <c r="E12" s="747">
        <v>17666000</v>
      </c>
      <c r="F12" s="747">
        <v>1500</v>
      </c>
      <c r="G12" s="747">
        <f>9512878+F12</f>
        <v>9514378</v>
      </c>
      <c r="H12" s="747">
        <f>D12/12*8</f>
        <v>8492000</v>
      </c>
      <c r="I12" s="411">
        <f t="shared" si="2"/>
        <v>1022378</v>
      </c>
      <c r="J12" s="411">
        <f t="shared" si="3"/>
        <v>0.12039307583608101</v>
      </c>
      <c r="K12" s="749"/>
      <c r="L12" s="101"/>
    </row>
    <row r="13" spans="1:12" x14ac:dyDescent="0.25">
      <c r="A13" s="705" t="s">
        <v>197</v>
      </c>
      <c r="B13" s="418"/>
      <c r="C13" s="747"/>
      <c r="D13" s="747">
        <v>4157000</v>
      </c>
      <c r="E13" s="747">
        <v>4157000.0399999996</v>
      </c>
      <c r="F13" s="747"/>
      <c r="G13" s="747">
        <f>1624000+F13</f>
        <v>1624000</v>
      </c>
      <c r="H13" s="747">
        <f>D13/12*8</f>
        <v>2771333.3333333335</v>
      </c>
      <c r="I13" s="411">
        <f t="shared" si="2"/>
        <v>-1147333.3333333335</v>
      </c>
      <c r="J13" s="411">
        <f t="shared" si="3"/>
        <v>-0.41400048111618959</v>
      </c>
      <c r="K13" s="749"/>
      <c r="L13" s="101"/>
    </row>
    <row r="14" spans="1:12" x14ac:dyDescent="0.25">
      <c r="A14" s="705" t="s">
        <v>198</v>
      </c>
      <c r="B14" s="418"/>
      <c r="C14" s="747"/>
      <c r="D14" s="747"/>
      <c r="E14" s="747"/>
      <c r="F14" s="747"/>
      <c r="G14" s="747"/>
      <c r="H14" s="747">
        <f t="shared" ref="H14" si="5">D14/12*7</f>
        <v>0</v>
      </c>
      <c r="I14" s="411">
        <f t="shared" si="2"/>
        <v>0</v>
      </c>
      <c r="J14" s="411" t="str">
        <f t="shared" si="3"/>
        <v/>
      </c>
      <c r="K14" s="749"/>
      <c r="L14" s="101"/>
    </row>
    <row r="15" spans="1:12" x14ac:dyDescent="0.25">
      <c r="A15" s="705" t="s">
        <v>199</v>
      </c>
      <c r="B15" s="418"/>
      <c r="C15" s="747"/>
      <c r="D15" s="747">
        <v>4928000</v>
      </c>
      <c r="E15" s="747"/>
      <c r="F15" s="747"/>
      <c r="G15" s="747"/>
      <c r="H15" s="747">
        <f>D15/12*8</f>
        <v>3285333.3333333335</v>
      </c>
      <c r="I15" s="411">
        <f t="shared" si="2"/>
        <v>-3285333.3333333335</v>
      </c>
      <c r="J15" s="411">
        <f t="shared" si="3"/>
        <v>-1</v>
      </c>
      <c r="K15" s="749"/>
      <c r="L15" s="101"/>
    </row>
    <row r="16" spans="1:12" x14ac:dyDescent="0.25">
      <c r="A16" s="417" t="s">
        <v>121</v>
      </c>
      <c r="B16" s="418"/>
      <c r="C16" s="615">
        <f>C17+C26+C27+C33+C34</f>
        <v>2182889</v>
      </c>
      <c r="D16" s="615">
        <f t="shared" ref="D16:K16" si="6">D17+D26+D27+D33+D34</f>
        <v>31240208.12185999</v>
      </c>
      <c r="E16" s="615">
        <f t="shared" si="6"/>
        <v>21696071.32</v>
      </c>
      <c r="F16" s="615">
        <f t="shared" si="6"/>
        <v>0</v>
      </c>
      <c r="G16" s="615">
        <f t="shared" si="6"/>
        <v>14055258.960000001</v>
      </c>
      <c r="H16" s="615">
        <f t="shared" si="6"/>
        <v>20826805.414573323</v>
      </c>
      <c r="I16" s="615">
        <f t="shared" si="2"/>
        <v>-6771546.4545733221</v>
      </c>
      <c r="J16" s="615">
        <f t="shared" si="3"/>
        <v>-0.3251361080002701</v>
      </c>
      <c r="K16" s="616">
        <f t="shared" si="6"/>
        <v>0</v>
      </c>
      <c r="L16" s="101"/>
    </row>
    <row r="17" spans="1:12" x14ac:dyDescent="0.25">
      <c r="A17" s="617" t="s">
        <v>122</v>
      </c>
      <c r="B17" s="418"/>
      <c r="C17" s="621">
        <f>SUM(C18:C25)</f>
        <v>2182889</v>
      </c>
      <c r="D17" s="621">
        <f t="shared" ref="D17:K17" si="7">SUM(D18:D25)</f>
        <v>28238208.12185999</v>
      </c>
      <c r="E17" s="621">
        <f t="shared" si="7"/>
        <v>18694071.32</v>
      </c>
      <c r="F17" s="621">
        <f t="shared" si="7"/>
        <v>0</v>
      </c>
      <c r="G17" s="621">
        <f t="shared" si="7"/>
        <v>12804317.810000001</v>
      </c>
      <c r="H17" s="621">
        <f t="shared" si="7"/>
        <v>18825472.081239991</v>
      </c>
      <c r="I17" s="621">
        <f t="shared" si="2"/>
        <v>-6021154.2712399904</v>
      </c>
      <c r="J17" s="621">
        <f t="shared" si="3"/>
        <v>-0.31984081170746348</v>
      </c>
      <c r="K17" s="624">
        <f t="shared" si="7"/>
        <v>0</v>
      </c>
      <c r="L17" s="101"/>
    </row>
    <row r="18" spans="1:12" x14ac:dyDescent="0.25">
      <c r="A18" s="705" t="s">
        <v>200</v>
      </c>
      <c r="B18" s="418"/>
      <c r="C18" s="747">
        <v>718889</v>
      </c>
      <c r="D18" s="747">
        <v>1134528.7010599999</v>
      </c>
      <c r="E18" s="747">
        <v>634529.0399999998</v>
      </c>
      <c r="F18" s="747"/>
      <c r="G18" s="747">
        <v>33107</v>
      </c>
      <c r="H18" s="747">
        <f>D18/12*8</f>
        <v>756352.46737333329</v>
      </c>
      <c r="I18" s="411">
        <f t="shared" si="2"/>
        <v>-723245.46737333329</v>
      </c>
      <c r="J18" s="411">
        <f t="shared" si="3"/>
        <v>-0.95622807959498801</v>
      </c>
      <c r="K18" s="749"/>
      <c r="L18" s="101"/>
    </row>
    <row r="19" spans="1:12" x14ac:dyDescent="0.25">
      <c r="A19" s="705" t="s">
        <v>201</v>
      </c>
      <c r="B19" s="418"/>
      <c r="C19" s="747"/>
      <c r="D19" s="747"/>
      <c r="E19" s="747">
        <v>0</v>
      </c>
      <c r="F19" s="747"/>
      <c r="G19" s="747"/>
      <c r="H19" s="747">
        <f t="shared" ref="H19:H23" si="8">D19/2</f>
        <v>0</v>
      </c>
      <c r="I19" s="411">
        <f t="shared" si="2"/>
        <v>0</v>
      </c>
      <c r="J19" s="411" t="str">
        <f t="shared" si="3"/>
        <v/>
      </c>
      <c r="K19" s="749"/>
      <c r="L19" s="101"/>
    </row>
    <row r="20" spans="1:12" x14ac:dyDescent="0.25">
      <c r="A20" s="705" t="s">
        <v>202</v>
      </c>
      <c r="B20" s="418"/>
      <c r="C20" s="747"/>
      <c r="D20" s="747"/>
      <c r="E20" s="747">
        <v>0</v>
      </c>
      <c r="F20" s="747"/>
      <c r="G20" s="747"/>
      <c r="H20" s="747">
        <f t="shared" si="8"/>
        <v>0</v>
      </c>
      <c r="I20" s="411">
        <f t="shared" si="2"/>
        <v>0</v>
      </c>
      <c r="J20" s="411" t="str">
        <f t="shared" si="3"/>
        <v/>
      </c>
      <c r="K20" s="749"/>
      <c r="L20" s="101"/>
    </row>
    <row r="21" spans="1:12" x14ac:dyDescent="0.25">
      <c r="A21" s="705" t="s">
        <v>203</v>
      </c>
      <c r="B21" s="418"/>
      <c r="C21" s="747"/>
      <c r="D21" s="747">
        <v>514596.19569999055</v>
      </c>
      <c r="E21" s="747">
        <v>518556</v>
      </c>
      <c r="F21" s="747"/>
      <c r="G21" s="747">
        <v>258037.6</v>
      </c>
      <c r="H21" s="747">
        <f>D21/12*8</f>
        <v>343064.13046666037</v>
      </c>
      <c r="I21" s="411">
        <f t="shared" si="2"/>
        <v>-85026.530466660362</v>
      </c>
      <c r="J21" s="411">
        <f t="shared" si="3"/>
        <v>-0.24784442008262769</v>
      </c>
      <c r="K21" s="749"/>
      <c r="L21" s="101"/>
    </row>
    <row r="22" spans="1:12" x14ac:dyDescent="0.25">
      <c r="A22" s="705" t="s">
        <v>204</v>
      </c>
      <c r="B22" s="418"/>
      <c r="C22" s="747"/>
      <c r="D22" s="747"/>
      <c r="E22" s="747">
        <v>0</v>
      </c>
      <c r="F22" s="747"/>
      <c r="G22" s="747"/>
      <c r="H22" s="747">
        <f t="shared" si="8"/>
        <v>0</v>
      </c>
      <c r="I22" s="411">
        <f t="shared" si="2"/>
        <v>0</v>
      </c>
      <c r="J22" s="411" t="str">
        <f t="shared" si="3"/>
        <v/>
      </c>
      <c r="K22" s="749"/>
      <c r="L22" s="101"/>
    </row>
    <row r="23" spans="1:12" x14ac:dyDescent="0.25">
      <c r="A23" s="705" t="s">
        <v>205</v>
      </c>
      <c r="B23" s="418"/>
      <c r="C23" s="747"/>
      <c r="D23" s="747"/>
      <c r="E23" s="747">
        <v>0</v>
      </c>
      <c r="F23" s="747"/>
      <c r="G23" s="747"/>
      <c r="H23" s="747">
        <f t="shared" si="8"/>
        <v>0</v>
      </c>
      <c r="I23" s="411">
        <f t="shared" si="2"/>
        <v>0</v>
      </c>
      <c r="J23" s="411" t="str">
        <f t="shared" si="3"/>
        <v/>
      </c>
      <c r="K23" s="749"/>
      <c r="L23" s="101"/>
    </row>
    <row r="24" spans="1:12" x14ac:dyDescent="0.25">
      <c r="A24" s="705" t="s">
        <v>206</v>
      </c>
      <c r="B24" s="418"/>
      <c r="C24" s="747"/>
      <c r="D24" s="747">
        <v>2002000</v>
      </c>
      <c r="E24" s="747">
        <v>17540986.280000001</v>
      </c>
      <c r="F24" s="747"/>
      <c r="G24" s="747">
        <v>1624000</v>
      </c>
      <c r="H24" s="747">
        <f>D24/12*8</f>
        <v>1334666.6666666667</v>
      </c>
      <c r="I24" s="411">
        <f t="shared" si="2"/>
        <v>289333.33333333326</v>
      </c>
      <c r="J24" s="411">
        <f t="shared" si="3"/>
        <v>0.21678321678321671</v>
      </c>
      <c r="K24" s="749"/>
      <c r="L24" s="101"/>
    </row>
    <row r="25" spans="1:12" x14ac:dyDescent="0.25">
      <c r="A25" s="705" t="s">
        <v>207</v>
      </c>
      <c r="B25" s="418"/>
      <c r="C25" s="747">
        <v>1464000</v>
      </c>
      <c r="D25" s="747">
        <v>24587083.225099999</v>
      </c>
      <c r="E25" s="747"/>
      <c r="F25" s="747"/>
      <c r="G25" s="747">
        <v>10889173.210000001</v>
      </c>
      <c r="H25" s="747">
        <f>D25/12*8</f>
        <v>16391388.816733332</v>
      </c>
      <c r="I25" s="411">
        <f t="shared" si="2"/>
        <v>-5502215.6067333315</v>
      </c>
      <c r="J25" s="411">
        <f t="shared" si="3"/>
        <v>-0.33567720638267901</v>
      </c>
      <c r="K25" s="749"/>
      <c r="L25" s="101"/>
    </row>
    <row r="26" spans="1:12" x14ac:dyDescent="0.25">
      <c r="A26" s="617" t="s">
        <v>123</v>
      </c>
      <c r="B26" s="418"/>
      <c r="C26" s="747"/>
      <c r="D26" s="747">
        <v>3002000</v>
      </c>
      <c r="E26" s="747">
        <v>3002000</v>
      </c>
      <c r="F26" s="747"/>
      <c r="G26" s="747">
        <v>1250941.1499999999</v>
      </c>
      <c r="H26" s="747">
        <f>D26/12*8</f>
        <v>2001333.3333333333</v>
      </c>
      <c r="I26" s="411">
        <f t="shared" si="2"/>
        <v>-750392.18333333335</v>
      </c>
      <c r="J26" s="411">
        <f t="shared" si="3"/>
        <v>-0.37494612758161228</v>
      </c>
      <c r="K26" s="749"/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9">SUM(D28:D32)</f>
        <v>0</v>
      </c>
      <c r="E27" s="621">
        <f t="shared" si="9"/>
        <v>0</v>
      </c>
      <c r="F27" s="621">
        <f t="shared" si="9"/>
        <v>0</v>
      </c>
      <c r="G27" s="621">
        <f t="shared" si="9"/>
        <v>0</v>
      </c>
      <c r="H27" s="621">
        <f t="shared" si="9"/>
        <v>0</v>
      </c>
      <c r="I27" s="621">
        <f t="shared" si="2"/>
        <v>0</v>
      </c>
      <c r="J27" s="621" t="str">
        <f t="shared" si="3"/>
        <v/>
      </c>
      <c r="K27" s="624">
        <f t="shared" si="9"/>
        <v>0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 x14ac:dyDescent="0.25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2"/>
        <v>0</v>
      </c>
      <c r="J32" s="411" t="str">
        <f t="shared" si="3"/>
        <v/>
      </c>
      <c r="K32" s="749"/>
      <c r="L32" s="101"/>
    </row>
    <row r="33" spans="1:12" x14ac:dyDescent="0.25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2"/>
        <v>0</v>
      </c>
      <c r="J33" s="621" t="str">
        <f t="shared" si="3"/>
        <v/>
      </c>
      <c r="K33" s="752"/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10">SUM(D35:D37)</f>
        <v>0</v>
      </c>
      <c r="E34" s="621">
        <f t="shared" si="10"/>
        <v>0</v>
      </c>
      <c r="F34" s="621">
        <f t="shared" si="10"/>
        <v>0</v>
      </c>
      <c r="G34" s="621">
        <f t="shared" si="10"/>
        <v>0</v>
      </c>
      <c r="H34" s="621">
        <f t="shared" si="10"/>
        <v>0</v>
      </c>
      <c r="I34" s="621">
        <f t="shared" si="2"/>
        <v>0</v>
      </c>
      <c r="J34" s="621" t="str">
        <f t="shared" si="3"/>
        <v/>
      </c>
      <c r="K34" s="624">
        <f t="shared" si="10"/>
        <v>0</v>
      </c>
      <c r="L34" s="101"/>
    </row>
    <row r="35" spans="1:12" x14ac:dyDescent="0.25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58835752</v>
      </c>
      <c r="D38" s="615">
        <f t="shared" ref="D38:K38" si="11">D39+D43+D49</f>
        <v>115833776.59865999</v>
      </c>
      <c r="E38" s="615">
        <f t="shared" si="11"/>
        <v>99521818.640000001</v>
      </c>
      <c r="F38" s="615">
        <f t="shared" si="11"/>
        <v>335719</v>
      </c>
      <c r="G38" s="615">
        <f t="shared" si="11"/>
        <v>37928628.82</v>
      </c>
      <c r="H38" s="615">
        <f t="shared" si="11"/>
        <v>77222517.732439995</v>
      </c>
      <c r="I38" s="615">
        <f t="shared" si="2"/>
        <v>-39293888.912439995</v>
      </c>
      <c r="J38" s="615">
        <f t="shared" si="3"/>
        <v>-0.50883977972053651</v>
      </c>
      <c r="K38" s="616">
        <f t="shared" si="11"/>
        <v>0</v>
      </c>
      <c r="L38" s="101"/>
    </row>
    <row r="39" spans="1:12" x14ac:dyDescent="0.25">
      <c r="A39" s="617" t="s">
        <v>126</v>
      </c>
      <c r="B39" s="420"/>
      <c r="C39" s="621">
        <f>SUM(C40:C42)</f>
        <v>49394052</v>
      </c>
      <c r="D39" s="621">
        <f t="shared" ref="D39:K39" si="12">SUM(D40:D42)</f>
        <v>63649955.933760002</v>
      </c>
      <c r="E39" s="621">
        <f t="shared" si="12"/>
        <v>60895525.600000001</v>
      </c>
      <c r="F39" s="621">
        <f t="shared" si="12"/>
        <v>0</v>
      </c>
      <c r="G39" s="621">
        <f t="shared" si="12"/>
        <v>24737833.630000003</v>
      </c>
      <c r="H39" s="621">
        <f t="shared" si="12"/>
        <v>42433303.955839999</v>
      </c>
      <c r="I39" s="621">
        <f t="shared" si="2"/>
        <v>-17695470.325839996</v>
      </c>
      <c r="J39" s="621">
        <f t="shared" si="3"/>
        <v>-0.4170184425010961</v>
      </c>
      <c r="K39" s="624">
        <f t="shared" si="12"/>
        <v>0</v>
      </c>
      <c r="L39" s="101"/>
    </row>
    <row r="40" spans="1:12" x14ac:dyDescent="0.25">
      <c r="A40" s="705" t="s">
        <v>212</v>
      </c>
      <c r="B40" s="420"/>
      <c r="C40" s="747">
        <f>45818272+3575780</f>
        <v>49394052</v>
      </c>
      <c r="D40" s="747">
        <v>25459253.440359998</v>
      </c>
      <c r="E40" s="747">
        <v>58741499.920000002</v>
      </c>
      <c r="F40" s="747"/>
      <c r="G40" s="747">
        <f>10931796+F40</f>
        <v>10931796</v>
      </c>
      <c r="H40" s="747">
        <f>D40/12*8</f>
        <v>16972835.626906667</v>
      </c>
      <c r="I40" s="411">
        <f t="shared" si="2"/>
        <v>-6041039.6269066669</v>
      </c>
      <c r="J40" s="411">
        <f t="shared" si="3"/>
        <v>-0.35592400466837365</v>
      </c>
      <c r="K40" s="749"/>
      <c r="L40" s="101"/>
    </row>
    <row r="41" spans="1:12" ht="22.5" x14ac:dyDescent="0.25">
      <c r="A41" s="705" t="s">
        <v>213</v>
      </c>
      <c r="B41" s="420"/>
      <c r="C41" s="747"/>
      <c r="D41" s="747">
        <v>38190702.4934</v>
      </c>
      <c r="E41" s="747">
        <v>2154025.6799999997</v>
      </c>
      <c r="F41" s="747"/>
      <c r="G41" s="747">
        <f>8981037.63+4825000</f>
        <v>13806037.630000001</v>
      </c>
      <c r="H41" s="747">
        <f>D41/12*8</f>
        <v>25460468.328933332</v>
      </c>
      <c r="I41" s="411">
        <f t="shared" si="2"/>
        <v>-11654430.698933331</v>
      </c>
      <c r="J41" s="411">
        <f t="shared" si="3"/>
        <v>-0.45774612424113231</v>
      </c>
      <c r="K41" s="749"/>
      <c r="L41" s="101"/>
    </row>
    <row r="42" spans="1:12" x14ac:dyDescent="0.25">
      <c r="A42" s="705" t="s">
        <v>214</v>
      </c>
      <c r="B42" s="420"/>
      <c r="C42" s="747"/>
      <c r="D42" s="747"/>
      <c r="E42" s="747"/>
      <c r="F42" s="747"/>
      <c r="G42" s="747"/>
      <c r="H42" s="747">
        <f t="shared" ref="H42" si="13">D42/12*6</f>
        <v>0</v>
      </c>
      <c r="I42" s="411">
        <f t="shared" si="2"/>
        <v>0</v>
      </c>
      <c r="J42" s="411" t="str">
        <f t="shared" si="3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9441700</v>
      </c>
      <c r="D43" s="621">
        <f t="shared" ref="D43:K43" si="14">SUM(D44:D48)</f>
        <v>52183820.664899997</v>
      </c>
      <c r="E43" s="621">
        <f t="shared" si="14"/>
        <v>38626293.039999999</v>
      </c>
      <c r="F43" s="621">
        <f t="shared" si="14"/>
        <v>335719</v>
      </c>
      <c r="G43" s="621">
        <f t="shared" si="14"/>
        <v>13190795.189999999</v>
      </c>
      <c r="H43" s="621">
        <f t="shared" si="14"/>
        <v>34789213.776599996</v>
      </c>
      <c r="I43" s="621">
        <f t="shared" si="2"/>
        <v>-21598418.586599998</v>
      </c>
      <c r="J43" s="621">
        <f t="shared" si="3"/>
        <v>-0.62083663992221572</v>
      </c>
      <c r="K43" s="624">
        <f t="shared" si="14"/>
        <v>0</v>
      </c>
      <c r="L43" s="101"/>
    </row>
    <row r="44" spans="1:12" x14ac:dyDescent="0.25">
      <c r="A44" s="705" t="s">
        <v>215</v>
      </c>
      <c r="B44" s="420"/>
      <c r="C44" s="747"/>
      <c r="D44" s="747"/>
      <c r="E44" s="747"/>
      <c r="F44" s="747"/>
      <c r="G44" s="747"/>
      <c r="H44" s="747"/>
      <c r="I44" s="411">
        <f t="shared" si="2"/>
        <v>0</v>
      </c>
      <c r="J44" s="411" t="str">
        <f t="shared" si="3"/>
        <v/>
      </c>
      <c r="K44" s="749"/>
      <c r="L44" s="101"/>
    </row>
    <row r="45" spans="1:12" x14ac:dyDescent="0.25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2"/>
        <v>0</v>
      </c>
      <c r="J45" s="411" t="str">
        <f t="shared" si="3"/>
        <v/>
      </c>
      <c r="K45" s="749"/>
      <c r="L45" s="101"/>
    </row>
    <row r="46" spans="1:12" x14ac:dyDescent="0.25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2"/>
        <v>0</v>
      </c>
      <c r="J46" s="411" t="str">
        <f t="shared" si="3"/>
        <v/>
      </c>
      <c r="K46" s="749"/>
      <c r="L46" s="101"/>
    </row>
    <row r="47" spans="1:12" x14ac:dyDescent="0.25">
      <c r="A47" s="705" t="s">
        <v>218</v>
      </c>
      <c r="B47" s="420"/>
      <c r="C47" s="747">
        <f>5713111+3728589</f>
        <v>9441700</v>
      </c>
      <c r="D47" s="747">
        <v>52183820.664899997</v>
      </c>
      <c r="E47" s="747">
        <v>28571293</v>
      </c>
      <c r="F47" s="747">
        <v>335719</v>
      </c>
      <c r="G47" s="747">
        <f>9607076.19+F47</f>
        <v>9942795.1899999995</v>
      </c>
      <c r="H47" s="747">
        <f>D47/12*8</f>
        <v>34789213.776599996</v>
      </c>
      <c r="I47" s="411">
        <f t="shared" si="2"/>
        <v>-24846418.586599998</v>
      </c>
      <c r="J47" s="411">
        <f t="shared" si="3"/>
        <v>-0.71419891079321418</v>
      </c>
      <c r="K47" s="749"/>
      <c r="L47" s="101"/>
    </row>
    <row r="48" spans="1:12" x14ac:dyDescent="0.25">
      <c r="A48" s="705" t="s">
        <v>867</v>
      </c>
      <c r="B48" s="420"/>
      <c r="C48" s="747"/>
      <c r="D48" s="747"/>
      <c r="E48" s="747">
        <v>10055000.040000001</v>
      </c>
      <c r="F48" s="747"/>
      <c r="G48" s="747">
        <v>3248000</v>
      </c>
      <c r="H48" s="747"/>
      <c r="I48" s="411">
        <f t="shared" si="2"/>
        <v>3248000</v>
      </c>
      <c r="J48" s="411" t="e">
        <f t="shared" si="3"/>
        <v>#DIV/0!</v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5">SUM(D50:D52)</f>
        <v>0</v>
      </c>
      <c r="E49" s="621">
        <f t="shared" si="15"/>
        <v>0</v>
      </c>
      <c r="F49" s="621">
        <f t="shared" si="15"/>
        <v>0</v>
      </c>
      <c r="G49" s="621">
        <f t="shared" si="15"/>
        <v>0</v>
      </c>
      <c r="H49" s="621">
        <f t="shared" si="15"/>
        <v>0</v>
      </c>
      <c r="I49" s="621">
        <f t="shared" si="2"/>
        <v>0</v>
      </c>
      <c r="J49" s="621" t="str">
        <f t="shared" si="3"/>
        <v/>
      </c>
      <c r="K49" s="624">
        <f t="shared" si="15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 x14ac:dyDescent="0.25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64782904</v>
      </c>
      <c r="D53" s="615">
        <f t="shared" ref="D53:I53" si="16">D54+D57+D60+D64</f>
        <v>95903298.491644159</v>
      </c>
      <c r="E53" s="615">
        <f t="shared" si="16"/>
        <v>109409374</v>
      </c>
      <c r="F53" s="615">
        <f t="shared" si="16"/>
        <v>5139061</v>
      </c>
      <c r="G53" s="615">
        <f t="shared" si="16"/>
        <v>76828437.120000005</v>
      </c>
      <c r="H53" s="615">
        <f t="shared" si="16"/>
        <v>63935532.327762783</v>
      </c>
      <c r="I53" s="615">
        <f t="shared" si="16"/>
        <v>12892904.792237233</v>
      </c>
      <c r="J53" s="615">
        <f t="shared" si="3"/>
        <v>0.20165476571215996</v>
      </c>
      <c r="K53" s="616">
        <f>K54+K57+K60+K64</f>
        <v>0</v>
      </c>
      <c r="L53" s="101"/>
    </row>
    <row r="54" spans="1:12" x14ac:dyDescent="0.25">
      <c r="A54" s="617" t="s">
        <v>763</v>
      </c>
      <c r="B54" s="420"/>
      <c r="C54" s="621">
        <f>SUM(C55:C56)</f>
        <v>49236075</v>
      </c>
      <c r="D54" s="621">
        <f t="shared" ref="D54:K54" si="17">SUM(D55:D56)</f>
        <v>65237273.147540003</v>
      </c>
      <c r="E54" s="621">
        <f t="shared" si="17"/>
        <v>76810864</v>
      </c>
      <c r="F54" s="621">
        <f t="shared" si="17"/>
        <v>3637796</v>
      </c>
      <c r="G54" s="621">
        <f t="shared" si="17"/>
        <v>55959540.82</v>
      </c>
      <c r="H54" s="621">
        <f t="shared" si="17"/>
        <v>43491515.431693338</v>
      </c>
      <c r="I54" s="621">
        <f t="shared" si="2"/>
        <v>12468025.388306662</v>
      </c>
      <c r="J54" s="621">
        <f t="shared" si="3"/>
        <v>0.28667718897697703</v>
      </c>
      <c r="K54" s="624">
        <f t="shared" si="17"/>
        <v>0</v>
      </c>
      <c r="L54" s="101"/>
    </row>
    <row r="55" spans="1:12" x14ac:dyDescent="0.25">
      <c r="A55" s="705" t="s">
        <v>221</v>
      </c>
      <c r="B55" s="420"/>
      <c r="C55" s="747">
        <f>45243035+3993040</f>
        <v>49236075</v>
      </c>
      <c r="D55" s="747">
        <v>65237273.147540003</v>
      </c>
      <c r="E55" s="747">
        <v>76810864</v>
      </c>
      <c r="F55" s="747">
        <v>3637796</v>
      </c>
      <c r="G55" s="747">
        <f>52321744.82+F55</f>
        <v>55959540.82</v>
      </c>
      <c r="H55" s="747">
        <f>D55/12*8</f>
        <v>43491515.431693338</v>
      </c>
      <c r="I55" s="411">
        <f t="shared" si="2"/>
        <v>12468025.388306662</v>
      </c>
      <c r="J55" s="411">
        <f t="shared" si="3"/>
        <v>0.28667718897697703</v>
      </c>
      <c r="K55" s="749"/>
      <c r="L55" s="101"/>
    </row>
    <row r="56" spans="1:12" x14ac:dyDescent="0.25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/>
      <c r="L56" s="101"/>
    </row>
    <row r="57" spans="1:12" x14ac:dyDescent="0.25">
      <c r="A57" s="617" t="s">
        <v>538</v>
      </c>
      <c r="B57" s="420"/>
      <c r="C57" s="621">
        <f>SUM(C58:C59)</f>
        <v>7694240</v>
      </c>
      <c r="D57" s="621">
        <f t="shared" ref="D57:K57" si="18">SUM(D58:D59)</f>
        <v>11481531.527840002</v>
      </c>
      <c r="E57" s="621">
        <f t="shared" si="18"/>
        <v>13480053</v>
      </c>
      <c r="F57" s="621">
        <f t="shared" si="18"/>
        <v>646680</v>
      </c>
      <c r="G57" s="621">
        <f t="shared" si="18"/>
        <v>10174832.860000011</v>
      </c>
      <c r="H57" s="621">
        <f t="shared" si="18"/>
        <v>7654354.3518933346</v>
      </c>
      <c r="I57" s="621">
        <f t="shared" si="2"/>
        <v>2520478.5081066759</v>
      </c>
      <c r="J57" s="621">
        <f t="shared" si="3"/>
        <v>0.32928688589955674</v>
      </c>
      <c r="K57" s="624">
        <f t="shared" si="18"/>
        <v>0</v>
      </c>
      <c r="L57" s="101"/>
    </row>
    <row r="58" spans="1:12" x14ac:dyDescent="0.25">
      <c r="A58" s="705" t="s">
        <v>223</v>
      </c>
      <c r="B58" s="420"/>
      <c r="C58" s="747">
        <v>7694240</v>
      </c>
      <c r="D58" s="747">
        <v>11481531.527840002</v>
      </c>
      <c r="E58" s="747">
        <v>13480053</v>
      </c>
      <c r="F58" s="747">
        <v>646680</v>
      </c>
      <c r="G58" s="747">
        <f>9528152.86000001+F58</f>
        <v>10174832.860000011</v>
      </c>
      <c r="H58" s="747">
        <f>D58/12*8</f>
        <v>7654354.3518933346</v>
      </c>
      <c r="I58" s="411">
        <f t="shared" si="2"/>
        <v>2520478.5081066759</v>
      </c>
      <c r="J58" s="411">
        <f t="shared" si="3"/>
        <v>0.32928688589955674</v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1999528</v>
      </c>
      <c r="D60" s="621">
        <f t="shared" ref="D60:K60" si="19">SUM(D61:D63)</f>
        <v>5163528.8162641581</v>
      </c>
      <c r="E60" s="621">
        <f t="shared" si="19"/>
        <v>4983103</v>
      </c>
      <c r="F60" s="621">
        <f t="shared" si="19"/>
        <v>206004</v>
      </c>
      <c r="G60" s="621">
        <f t="shared" si="19"/>
        <v>2053756.14</v>
      </c>
      <c r="H60" s="621">
        <f t="shared" si="19"/>
        <v>3442352.5441761054</v>
      </c>
      <c r="I60" s="621">
        <f t="shared" si="2"/>
        <v>-1388596.4041761055</v>
      </c>
      <c r="J60" s="621">
        <f t="shared" si="3"/>
        <v>-0.40338587822022537</v>
      </c>
      <c r="K60" s="624">
        <f t="shared" si="19"/>
        <v>0</v>
      </c>
      <c r="L60" s="101"/>
    </row>
    <row r="61" spans="1:12" x14ac:dyDescent="0.25">
      <c r="A61" s="705" t="s">
        <v>225</v>
      </c>
      <c r="B61" s="420"/>
      <c r="C61" s="747">
        <v>1999528</v>
      </c>
      <c r="D61" s="747">
        <v>5163528.8162641581</v>
      </c>
      <c r="E61" s="747">
        <v>4983103</v>
      </c>
      <c r="F61" s="747">
        <v>206004</v>
      </c>
      <c r="G61" s="747">
        <f>1847752.14+F61</f>
        <v>2053756.14</v>
      </c>
      <c r="H61" s="747">
        <f>D61/12*8</f>
        <v>3442352.5441761054</v>
      </c>
      <c r="I61" s="411">
        <f t="shared" si="2"/>
        <v>-1388596.4041761055</v>
      </c>
      <c r="J61" s="411">
        <f t="shared" si="3"/>
        <v>-0.40338587822022537</v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5853061</v>
      </c>
      <c r="D64" s="621">
        <f t="shared" ref="D64:K64" si="20">SUM(D65)</f>
        <v>14020965</v>
      </c>
      <c r="E64" s="621">
        <f t="shared" si="20"/>
        <v>14135354</v>
      </c>
      <c r="F64" s="621">
        <f t="shared" si="20"/>
        <v>648581</v>
      </c>
      <c r="G64" s="621">
        <f t="shared" si="20"/>
        <v>8640307.3000000007</v>
      </c>
      <c r="H64" s="621">
        <f t="shared" si="20"/>
        <v>9347310</v>
      </c>
      <c r="I64" s="621">
        <f t="shared" si="2"/>
        <v>-707002.69999999925</v>
      </c>
      <c r="J64" s="621">
        <f t="shared" si="3"/>
        <v>-7.5637022844005308E-2</v>
      </c>
      <c r="K64" s="624">
        <f t="shared" si="20"/>
        <v>0</v>
      </c>
      <c r="L64" s="101"/>
    </row>
    <row r="65" spans="1:12" x14ac:dyDescent="0.25">
      <c r="A65" s="705" t="s">
        <v>228</v>
      </c>
      <c r="B65" s="420"/>
      <c r="C65" s="747">
        <v>5853061</v>
      </c>
      <c r="D65" s="747">
        <v>14020965</v>
      </c>
      <c r="E65" s="747">
        <v>14135354</v>
      </c>
      <c r="F65" s="747">
        <v>648581</v>
      </c>
      <c r="G65" s="747">
        <f>7991726.3+F65</f>
        <v>8640307.3000000007</v>
      </c>
      <c r="H65" s="747">
        <f>D65/12*8</f>
        <v>9347310</v>
      </c>
      <c r="I65" s="411">
        <f t="shared" si="2"/>
        <v>-707002.69999999925</v>
      </c>
      <c r="J65" s="411">
        <f t="shared" si="3"/>
        <v>-7.5637022844005308E-2</v>
      </c>
      <c r="K65" s="749"/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21">SUM(D67:D71)</f>
        <v>0</v>
      </c>
      <c r="E66" s="621">
        <f t="shared" si="21"/>
        <v>0</v>
      </c>
      <c r="F66" s="621">
        <f t="shared" si="21"/>
        <v>0</v>
      </c>
      <c r="G66" s="621">
        <f t="shared" si="21"/>
        <v>0</v>
      </c>
      <c r="H66" s="621">
        <f t="shared" si="21"/>
        <v>0</v>
      </c>
      <c r="I66" s="621">
        <f t="shared" si="2"/>
        <v>0</v>
      </c>
      <c r="J66" s="621" t="str">
        <f t="shared" si="3"/>
        <v/>
      </c>
      <c r="K66" s="624">
        <f t="shared" si="21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22">C6+C16+C38+C53+C66</f>
        <v>259573523</v>
      </c>
      <c r="D72" s="626">
        <f t="shared" si="22"/>
        <v>362208835.51280415</v>
      </c>
      <c r="E72" s="626">
        <f t="shared" si="22"/>
        <v>350984249.38999999</v>
      </c>
      <c r="F72" s="626">
        <f t="shared" si="22"/>
        <v>7723406</v>
      </c>
      <c r="G72" s="626">
        <f t="shared" si="22"/>
        <v>218638999.33000001</v>
      </c>
      <c r="H72" s="626">
        <f t="shared" si="22"/>
        <v>241472557.0085361</v>
      </c>
      <c r="I72" s="626">
        <f>G72-H72</f>
        <v>-22833557.678536087</v>
      </c>
      <c r="J72" s="626">
        <f>IF(I72=0,"",I72/H72)</f>
        <v>-9.4559638417747477E-2</v>
      </c>
      <c r="K72" s="627">
        <f>K6+K16+K38+K53+K66</f>
        <v>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3">C76+C79+C80</f>
        <v>222905658</v>
      </c>
      <c r="D75" s="615">
        <f t="shared" si="23"/>
        <v>117836231.25680906</v>
      </c>
      <c r="E75" s="615">
        <f t="shared" si="23"/>
        <v>129336127.53999999</v>
      </c>
      <c r="F75" s="615">
        <f t="shared" si="23"/>
        <v>6199038.5500000007</v>
      </c>
      <c r="G75" s="615">
        <f t="shared" si="23"/>
        <v>81411713.659999996</v>
      </c>
      <c r="H75" s="615">
        <f t="shared" si="23"/>
        <v>78557487.504539371</v>
      </c>
      <c r="I75" s="615">
        <f t="shared" ref="I75:I138" si="24">G75-H75</f>
        <v>2854226.1554606259</v>
      </c>
      <c r="J75" s="615">
        <f t="shared" ref="J75:J138" si="25">IF(I75=0,"",I75/H75)</f>
        <v>3.6332961327151622E-2</v>
      </c>
      <c r="K75" s="616">
        <f t="shared" si="23"/>
        <v>0</v>
      </c>
      <c r="L75" s="101"/>
    </row>
    <row r="76" spans="1:12" x14ac:dyDescent="0.25">
      <c r="A76" s="617" t="str">
        <f t="shared" ref="A76:A139" si="26">A7</f>
        <v>Executive and council</v>
      </c>
      <c r="B76" s="630"/>
      <c r="C76" s="618">
        <f t="shared" ref="C76:K76" si="27">SUM(C77:C78)</f>
        <v>22018516</v>
      </c>
      <c r="D76" s="618">
        <f t="shared" si="27"/>
        <v>33075578.289715648</v>
      </c>
      <c r="E76" s="618">
        <f t="shared" si="27"/>
        <v>33036075.25</v>
      </c>
      <c r="F76" s="618">
        <f t="shared" si="27"/>
        <v>2770511.6900000004</v>
      </c>
      <c r="G76" s="618">
        <f t="shared" si="27"/>
        <v>28138201.140000001</v>
      </c>
      <c r="H76" s="618">
        <f t="shared" si="27"/>
        <v>22050385.526477098</v>
      </c>
      <c r="I76" s="618">
        <f t="shared" si="24"/>
        <v>6087815.6135229021</v>
      </c>
      <c r="J76" s="618">
        <f t="shared" si="25"/>
        <v>0.27608658389273649</v>
      </c>
      <c r="K76" s="620">
        <f t="shared" si="27"/>
        <v>0</v>
      </c>
      <c r="L76" s="101"/>
    </row>
    <row r="77" spans="1:12" x14ac:dyDescent="0.25">
      <c r="A77" s="705" t="str">
        <f t="shared" si="26"/>
        <v>Mayor and Council</v>
      </c>
      <c r="B77" s="630"/>
      <c r="C77" s="747">
        <f>11421583+3394041</f>
        <v>14815624</v>
      </c>
      <c r="D77" s="747">
        <v>26021258.381915648</v>
      </c>
      <c r="E77" s="747">
        <v>24691139</v>
      </c>
      <c r="F77" s="747">
        <v>1420944.99</v>
      </c>
      <c r="G77" s="747">
        <f>21638742.93+F77</f>
        <v>23059687.919999998</v>
      </c>
      <c r="H77" s="747">
        <f>D77/12*8</f>
        <v>17347505.587943766</v>
      </c>
      <c r="I77" s="411">
        <f t="shared" si="24"/>
        <v>5712182.3320562318</v>
      </c>
      <c r="J77" s="411">
        <f t="shared" si="25"/>
        <v>0.32927975166793466</v>
      </c>
      <c r="K77" s="749"/>
      <c r="L77" s="101"/>
    </row>
    <row r="78" spans="1:12" x14ac:dyDescent="0.25">
      <c r="A78" s="705" t="str">
        <f t="shared" si="26"/>
        <v>Municipal Manager</v>
      </c>
      <c r="B78" s="630"/>
      <c r="C78" s="747">
        <v>7202892</v>
      </c>
      <c r="D78" s="747">
        <v>7054319.9078000002</v>
      </c>
      <c r="E78" s="747">
        <v>8344936.2500000009</v>
      </c>
      <c r="F78" s="747">
        <v>1349566.7000000002</v>
      </c>
      <c r="G78" s="747">
        <f>3728946.52+F78</f>
        <v>5078513.2200000007</v>
      </c>
      <c r="H78" s="747">
        <f>D78/12*8</f>
        <v>4702879.9385333331</v>
      </c>
      <c r="I78" s="411">
        <f t="shared" si="24"/>
        <v>375633.28146666754</v>
      </c>
      <c r="J78" s="411">
        <f t="shared" si="25"/>
        <v>7.9873032349580819E-2</v>
      </c>
      <c r="K78" s="749"/>
      <c r="L78" s="101"/>
    </row>
    <row r="79" spans="1:12" x14ac:dyDescent="0.25">
      <c r="A79" s="617" t="str">
        <f t="shared" si="26"/>
        <v>Budget and treasury office</v>
      </c>
      <c r="B79" s="630"/>
      <c r="C79" s="748">
        <f>42841196+37238233+2014375</f>
        <v>82093804</v>
      </c>
      <c r="D79" s="748">
        <v>59787449.517633408</v>
      </c>
      <c r="E79" s="748">
        <v>71789939.469999999</v>
      </c>
      <c r="F79" s="748">
        <v>2126076.71</v>
      </c>
      <c r="G79" s="748">
        <f>33567696.78+F79</f>
        <v>35693773.490000002</v>
      </c>
      <c r="H79" s="748">
        <f>D79/12*8</f>
        <v>39858299.678422272</v>
      </c>
      <c r="I79" s="618">
        <f t="shared" si="24"/>
        <v>-4164526.1884222701</v>
      </c>
      <c r="J79" s="618">
        <f t="shared" si="25"/>
        <v>-0.10448328759685607</v>
      </c>
      <c r="K79" s="750"/>
      <c r="L79" s="101"/>
    </row>
    <row r="80" spans="1:12" x14ac:dyDescent="0.25">
      <c r="A80" s="617" t="str">
        <f t="shared" si="26"/>
        <v>Corporate services</v>
      </c>
      <c r="B80" s="630"/>
      <c r="C80" s="618">
        <f t="shared" ref="C80:K80" si="28">SUM(C81:C84)</f>
        <v>118793338</v>
      </c>
      <c r="D80" s="618">
        <f t="shared" si="28"/>
        <v>24973203.449460004</v>
      </c>
      <c r="E80" s="618">
        <f t="shared" si="28"/>
        <v>24510112.82</v>
      </c>
      <c r="F80" s="618">
        <f t="shared" si="28"/>
        <v>1302450.1499999999</v>
      </c>
      <c r="G80" s="618">
        <f t="shared" si="28"/>
        <v>17579739.030000001</v>
      </c>
      <c r="H80" s="618">
        <f t="shared" si="28"/>
        <v>16648802.29964</v>
      </c>
      <c r="I80" s="618">
        <f t="shared" si="24"/>
        <v>930936.73036000133</v>
      </c>
      <c r="J80" s="618">
        <f t="shared" si="25"/>
        <v>5.5916138206538207E-2</v>
      </c>
      <c r="K80" s="620">
        <f t="shared" si="28"/>
        <v>0</v>
      </c>
      <c r="L80" s="101"/>
    </row>
    <row r="81" spans="1:12" x14ac:dyDescent="0.25">
      <c r="A81" s="705" t="str">
        <f t="shared" si="26"/>
        <v>Human Resources</v>
      </c>
      <c r="B81" s="630"/>
      <c r="C81" s="747">
        <f>5728182+103878112+2776148</f>
        <v>112382442</v>
      </c>
      <c r="D81" s="747">
        <v>18865489.24853</v>
      </c>
      <c r="E81" s="747">
        <v>18524069</v>
      </c>
      <c r="F81" s="747">
        <v>1302450.1499999999</v>
      </c>
      <c r="G81" s="747">
        <f>16277288.88+F81</f>
        <v>17579739.030000001</v>
      </c>
      <c r="H81" s="747">
        <f>D81/12*8</f>
        <v>12576992.832353333</v>
      </c>
      <c r="I81" s="411">
        <f t="shared" si="24"/>
        <v>5002746.1976466682</v>
      </c>
      <c r="J81" s="411">
        <f t="shared" si="25"/>
        <v>0.39776966277483228</v>
      </c>
      <c r="K81" s="749"/>
      <c r="L81" s="101"/>
    </row>
    <row r="82" spans="1:12" x14ac:dyDescent="0.25">
      <c r="A82" s="705" t="str">
        <f t="shared" si="26"/>
        <v>Information Technology</v>
      </c>
      <c r="B82" s="630"/>
      <c r="C82" s="747">
        <v>114641</v>
      </c>
      <c r="D82" s="747">
        <v>3189801.25055</v>
      </c>
      <c r="E82" s="747">
        <v>5986043.8200000003</v>
      </c>
      <c r="F82" s="747"/>
      <c r="G82" s="747"/>
      <c r="H82" s="747">
        <f>D82/12*8</f>
        <v>2126534.1670333333</v>
      </c>
      <c r="I82" s="411">
        <f t="shared" si="24"/>
        <v>-2126534.1670333333</v>
      </c>
      <c r="J82" s="411">
        <f t="shared" si="25"/>
        <v>-1</v>
      </c>
      <c r="K82" s="749"/>
      <c r="L82" s="101"/>
    </row>
    <row r="83" spans="1:12" x14ac:dyDescent="0.25">
      <c r="A83" s="705" t="str">
        <f t="shared" si="26"/>
        <v>Property Services</v>
      </c>
      <c r="B83" s="630"/>
      <c r="C83" s="747"/>
      <c r="D83" s="747"/>
      <c r="E83" s="747"/>
      <c r="F83" s="747"/>
      <c r="G83" s="747"/>
      <c r="H83" s="747"/>
      <c r="I83" s="411">
        <f t="shared" si="24"/>
        <v>0</v>
      </c>
      <c r="J83" s="411" t="str">
        <f t="shared" si="25"/>
        <v/>
      </c>
      <c r="K83" s="749"/>
      <c r="L83" s="101"/>
    </row>
    <row r="84" spans="1:12" x14ac:dyDescent="0.25">
      <c r="A84" s="705" t="str">
        <f t="shared" si="26"/>
        <v>Other Admin</v>
      </c>
      <c r="B84" s="630"/>
      <c r="C84" s="747">
        <v>6296255</v>
      </c>
      <c r="D84" s="747">
        <v>2917912.9503800003</v>
      </c>
      <c r="E84" s="747"/>
      <c r="F84" s="747"/>
      <c r="G84" s="747"/>
      <c r="H84" s="747">
        <f>D84/12*8</f>
        <v>1945275.3002533335</v>
      </c>
      <c r="I84" s="411">
        <f t="shared" si="24"/>
        <v>-1945275.3002533335</v>
      </c>
      <c r="J84" s="411">
        <f t="shared" si="25"/>
        <v>-1</v>
      </c>
      <c r="K84" s="749"/>
      <c r="L84" s="101"/>
    </row>
    <row r="85" spans="1:12" x14ac:dyDescent="0.25">
      <c r="A85" s="417" t="str">
        <f t="shared" si="26"/>
        <v>Community and public safety</v>
      </c>
      <c r="B85" s="630"/>
      <c r="C85" s="615">
        <f t="shared" ref="C85:K85" si="29">C86+C95+C96+C102+C103</f>
        <v>3872955</v>
      </c>
      <c r="D85" s="615">
        <f t="shared" si="29"/>
        <v>5990704.3318699999</v>
      </c>
      <c r="E85" s="615">
        <f t="shared" si="29"/>
        <v>25193308.800000001</v>
      </c>
      <c r="F85" s="615">
        <f t="shared" si="29"/>
        <v>1470733.2999999998</v>
      </c>
      <c r="G85" s="615">
        <f t="shared" si="29"/>
        <v>7525596.9500000002</v>
      </c>
      <c r="H85" s="615">
        <f t="shared" si="29"/>
        <v>3993802.8879133333</v>
      </c>
      <c r="I85" s="615">
        <f t="shared" si="24"/>
        <v>3531794.0620866669</v>
      </c>
      <c r="J85" s="615">
        <f t="shared" si="25"/>
        <v>0.88431857084763266</v>
      </c>
      <c r="K85" s="616">
        <f t="shared" si="29"/>
        <v>0</v>
      </c>
      <c r="L85" s="101"/>
    </row>
    <row r="86" spans="1:12" x14ac:dyDescent="0.25">
      <c r="A86" s="617" t="str">
        <f t="shared" si="26"/>
        <v>Community and social services</v>
      </c>
      <c r="B86" s="630"/>
      <c r="C86" s="621">
        <f t="shared" ref="C86:K86" si="30">SUM(C87:C94)</f>
        <v>0</v>
      </c>
      <c r="D86" s="621">
        <f t="shared" si="30"/>
        <v>2308290.1038000002</v>
      </c>
      <c r="E86" s="621">
        <f t="shared" si="30"/>
        <v>21805121.800000001</v>
      </c>
      <c r="F86" s="621">
        <f t="shared" si="30"/>
        <v>1097538.8799999999</v>
      </c>
      <c r="G86" s="621">
        <f t="shared" si="30"/>
        <v>4191233.83</v>
      </c>
      <c r="H86" s="621">
        <f t="shared" si="30"/>
        <v>1538860.0692000003</v>
      </c>
      <c r="I86" s="621">
        <f t="shared" si="24"/>
        <v>2652373.7607999998</v>
      </c>
      <c r="J86" s="621">
        <f t="shared" si="25"/>
        <v>1.7235964555106538</v>
      </c>
      <c r="K86" s="624">
        <f t="shared" si="30"/>
        <v>0</v>
      </c>
      <c r="L86" s="101"/>
    </row>
    <row r="87" spans="1:12" x14ac:dyDescent="0.25">
      <c r="A87" s="705" t="str">
        <f t="shared" si="26"/>
        <v>Libraries and Archives</v>
      </c>
      <c r="B87" s="630"/>
      <c r="C87" s="747"/>
      <c r="D87" s="747">
        <v>667774.30970000033</v>
      </c>
      <c r="E87" s="747">
        <v>1239062</v>
      </c>
      <c r="F87" s="747">
        <v>61287.6</v>
      </c>
      <c r="G87" s="747">
        <f>124972.6+F87</f>
        <v>186260.2</v>
      </c>
      <c r="H87" s="747">
        <f>D87/12*8</f>
        <v>445182.87313333357</v>
      </c>
      <c r="I87" s="411">
        <f t="shared" si="24"/>
        <v>-258922.67313333356</v>
      </c>
      <c r="J87" s="411">
        <f t="shared" si="25"/>
        <v>-0.58160969066702051</v>
      </c>
      <c r="K87" s="749"/>
      <c r="L87" s="101"/>
    </row>
    <row r="88" spans="1:12" x14ac:dyDescent="0.25">
      <c r="A88" s="705" t="str">
        <f t="shared" si="26"/>
        <v>Museums &amp; Art Galleries etc</v>
      </c>
      <c r="B88" s="630"/>
      <c r="C88" s="747"/>
      <c r="D88" s="747"/>
      <c r="E88" s="747">
        <v>0</v>
      </c>
      <c r="F88" s="747"/>
      <c r="G88" s="747"/>
      <c r="H88" s="747">
        <f t="shared" ref="H88:H94" si="31">D88/2</f>
        <v>0</v>
      </c>
      <c r="I88" s="411">
        <f t="shared" si="24"/>
        <v>0</v>
      </c>
      <c r="J88" s="411" t="str">
        <f t="shared" si="25"/>
        <v/>
      </c>
      <c r="K88" s="749"/>
      <c r="L88" s="101"/>
    </row>
    <row r="89" spans="1:12" x14ac:dyDescent="0.25">
      <c r="A89" s="705" t="str">
        <f t="shared" si="26"/>
        <v>Community halls and Facilities</v>
      </c>
      <c r="B89" s="630"/>
      <c r="C89" s="747"/>
      <c r="D89" s="747"/>
      <c r="E89" s="747">
        <v>0</v>
      </c>
      <c r="F89" s="747"/>
      <c r="G89" s="747"/>
      <c r="H89" s="747">
        <f t="shared" si="31"/>
        <v>0</v>
      </c>
      <c r="I89" s="411">
        <f t="shared" si="24"/>
        <v>0</v>
      </c>
      <c r="J89" s="411" t="str">
        <f t="shared" si="25"/>
        <v/>
      </c>
      <c r="K89" s="749"/>
      <c r="L89" s="101"/>
    </row>
    <row r="90" spans="1:12" x14ac:dyDescent="0.25">
      <c r="A90" s="705" t="str">
        <f t="shared" si="26"/>
        <v>Cemeteries &amp; Crematoriums</v>
      </c>
      <c r="B90" s="630"/>
      <c r="C90" s="747"/>
      <c r="D90" s="747">
        <v>393465.33754999982</v>
      </c>
      <c r="E90" s="747">
        <v>697472</v>
      </c>
      <c r="F90" s="747">
        <v>263417</v>
      </c>
      <c r="G90" s="747">
        <f>55587.79+F90</f>
        <v>319004.78999999998</v>
      </c>
      <c r="H90" s="747">
        <f>D90/12*8</f>
        <v>262310.22503333323</v>
      </c>
      <c r="I90" s="411">
        <f t="shared" si="24"/>
        <v>56694.564966666745</v>
      </c>
      <c r="J90" s="411">
        <f t="shared" si="25"/>
        <v>0.21613555079472122</v>
      </c>
      <c r="K90" s="749"/>
      <c r="L90" s="101"/>
    </row>
    <row r="91" spans="1:12" x14ac:dyDescent="0.25">
      <c r="A91" s="705" t="str">
        <f t="shared" si="26"/>
        <v>Child Care</v>
      </c>
      <c r="B91" s="630"/>
      <c r="C91" s="747"/>
      <c r="D91" s="747"/>
      <c r="E91" s="747">
        <v>0</v>
      </c>
      <c r="F91" s="747"/>
      <c r="G91" s="747"/>
      <c r="H91" s="747">
        <f t="shared" si="31"/>
        <v>0</v>
      </c>
      <c r="I91" s="411">
        <f t="shared" si="24"/>
        <v>0</v>
      </c>
      <c r="J91" s="411" t="str">
        <f t="shared" si="25"/>
        <v/>
      </c>
      <c r="K91" s="749"/>
      <c r="L91" s="101"/>
    </row>
    <row r="92" spans="1:12" x14ac:dyDescent="0.25">
      <c r="A92" s="705" t="str">
        <f t="shared" si="26"/>
        <v>Aged Care</v>
      </c>
      <c r="B92" s="630"/>
      <c r="C92" s="747"/>
      <c r="D92" s="747"/>
      <c r="E92" s="747">
        <v>0</v>
      </c>
      <c r="F92" s="747"/>
      <c r="G92" s="747"/>
      <c r="H92" s="747">
        <f t="shared" si="31"/>
        <v>0</v>
      </c>
      <c r="I92" s="411">
        <f t="shared" si="24"/>
        <v>0</v>
      </c>
      <c r="J92" s="411" t="str">
        <f t="shared" si="25"/>
        <v/>
      </c>
      <c r="K92" s="749"/>
      <c r="L92" s="101"/>
    </row>
    <row r="93" spans="1:12" x14ac:dyDescent="0.25">
      <c r="A93" s="705" t="str">
        <f t="shared" si="26"/>
        <v>Other Community</v>
      </c>
      <c r="B93" s="630"/>
      <c r="C93" s="747"/>
      <c r="D93" s="747">
        <v>1247050.45655</v>
      </c>
      <c r="E93" s="747">
        <v>19868587.800000001</v>
      </c>
      <c r="F93" s="747">
        <v>241252.28</v>
      </c>
      <c r="G93" s="747">
        <f>2913134.56+F93</f>
        <v>3154386.84</v>
      </c>
      <c r="H93" s="747">
        <f>D93/12*8</f>
        <v>831366.97103333334</v>
      </c>
      <c r="I93" s="411">
        <f t="shared" si="24"/>
        <v>2323019.8689666665</v>
      </c>
      <c r="J93" s="411">
        <f t="shared" si="25"/>
        <v>2.7942171747324878</v>
      </c>
      <c r="K93" s="749"/>
      <c r="L93" s="101"/>
    </row>
    <row r="94" spans="1:12" x14ac:dyDescent="0.25">
      <c r="A94" s="705" t="str">
        <f t="shared" si="26"/>
        <v>Other Social</v>
      </c>
      <c r="B94" s="630"/>
      <c r="C94" s="747"/>
      <c r="D94" s="747"/>
      <c r="E94" s="747">
        <v>0</v>
      </c>
      <c r="F94" s="747">
        <v>531582</v>
      </c>
      <c r="G94" s="747">
        <f>F94</f>
        <v>531582</v>
      </c>
      <c r="H94" s="747">
        <f t="shared" si="31"/>
        <v>0</v>
      </c>
      <c r="I94" s="411">
        <f t="shared" si="24"/>
        <v>531582</v>
      </c>
      <c r="J94" s="411" t="e">
        <f t="shared" si="25"/>
        <v>#DIV/0!</v>
      </c>
      <c r="K94" s="749"/>
      <c r="L94" s="101"/>
    </row>
    <row r="95" spans="1:12" x14ac:dyDescent="0.25">
      <c r="A95" s="617" t="str">
        <f t="shared" si="26"/>
        <v>Sport and recreation</v>
      </c>
      <c r="B95" s="630"/>
      <c r="C95" s="747">
        <v>3872955</v>
      </c>
      <c r="D95" s="747">
        <v>3682414.2280699997</v>
      </c>
      <c r="E95" s="747">
        <v>3388187</v>
      </c>
      <c r="F95" s="747">
        <v>373194.42</v>
      </c>
      <c r="G95" s="747">
        <f>2961168.7+F95</f>
        <v>3334363.12</v>
      </c>
      <c r="H95" s="747">
        <f>D95/12*8</f>
        <v>2454942.818713333</v>
      </c>
      <c r="I95" s="411">
        <f t="shared" si="24"/>
        <v>879420.30128666712</v>
      </c>
      <c r="J95" s="411">
        <f t="shared" si="25"/>
        <v>0.35822435234869648</v>
      </c>
      <c r="K95" s="749"/>
      <c r="L95" s="101"/>
    </row>
    <row r="96" spans="1:12" x14ac:dyDescent="0.25">
      <c r="A96" s="617" t="str">
        <f t="shared" si="26"/>
        <v>Public safety</v>
      </c>
      <c r="B96" s="630"/>
      <c r="C96" s="621">
        <f t="shared" ref="C96:K96" si="32">SUM(C97:C101)</f>
        <v>0</v>
      </c>
      <c r="D96" s="621">
        <f t="shared" si="32"/>
        <v>0</v>
      </c>
      <c r="E96" s="621">
        <f t="shared" si="32"/>
        <v>0</v>
      </c>
      <c r="F96" s="621">
        <f t="shared" si="32"/>
        <v>0</v>
      </c>
      <c r="G96" s="621">
        <f t="shared" si="32"/>
        <v>0</v>
      </c>
      <c r="H96" s="621">
        <f t="shared" si="32"/>
        <v>0</v>
      </c>
      <c r="I96" s="621">
        <f t="shared" si="24"/>
        <v>0</v>
      </c>
      <c r="J96" s="621" t="str">
        <f t="shared" si="25"/>
        <v/>
      </c>
      <c r="K96" s="624">
        <f t="shared" si="32"/>
        <v>0</v>
      </c>
      <c r="L96" s="101"/>
    </row>
    <row r="97" spans="1:12" x14ac:dyDescent="0.25">
      <c r="A97" s="705" t="str">
        <f t="shared" si="26"/>
        <v>Police</v>
      </c>
      <c r="B97" s="630"/>
      <c r="C97" s="747"/>
      <c r="D97" s="747"/>
      <c r="E97" s="747"/>
      <c r="F97" s="747"/>
      <c r="G97" s="747"/>
      <c r="H97" s="747"/>
      <c r="I97" s="411">
        <f t="shared" si="24"/>
        <v>0</v>
      </c>
      <c r="J97" s="411" t="str">
        <f t="shared" si="25"/>
        <v/>
      </c>
      <c r="K97" s="749"/>
      <c r="L97" s="101"/>
    </row>
    <row r="98" spans="1:12" x14ac:dyDescent="0.25">
      <c r="A98" s="705" t="str">
        <f t="shared" si="26"/>
        <v>Fire</v>
      </c>
      <c r="B98" s="630"/>
      <c r="C98" s="747"/>
      <c r="D98" s="747"/>
      <c r="E98" s="747"/>
      <c r="F98" s="747"/>
      <c r="G98" s="747"/>
      <c r="H98" s="747"/>
      <c r="I98" s="411">
        <f t="shared" si="24"/>
        <v>0</v>
      </c>
      <c r="J98" s="411" t="str">
        <f t="shared" si="25"/>
        <v/>
      </c>
      <c r="K98" s="749"/>
      <c r="L98" s="101"/>
    </row>
    <row r="99" spans="1:12" x14ac:dyDescent="0.25">
      <c r="A99" s="705" t="str">
        <f t="shared" si="26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4"/>
        <v>0</v>
      </c>
      <c r="J99" s="411" t="str">
        <f t="shared" si="25"/>
        <v/>
      </c>
      <c r="K99" s="749"/>
      <c r="L99" s="101"/>
    </row>
    <row r="100" spans="1:12" x14ac:dyDescent="0.25">
      <c r="A100" s="705" t="str">
        <f t="shared" si="26"/>
        <v>Street Lighting</v>
      </c>
      <c r="B100" s="630"/>
      <c r="C100" s="747"/>
      <c r="D100" s="747"/>
      <c r="E100" s="747"/>
      <c r="F100" s="747"/>
      <c r="G100" s="747"/>
      <c r="H100" s="747"/>
      <c r="I100" s="411">
        <f t="shared" si="24"/>
        <v>0</v>
      </c>
      <c r="J100" s="411" t="str">
        <f t="shared" si="25"/>
        <v/>
      </c>
      <c r="K100" s="749"/>
      <c r="L100" s="101"/>
    </row>
    <row r="101" spans="1:12" x14ac:dyDescent="0.25">
      <c r="A101" s="705" t="str">
        <f t="shared" si="26"/>
        <v>Other</v>
      </c>
      <c r="B101" s="630"/>
      <c r="C101" s="747"/>
      <c r="D101" s="747"/>
      <c r="E101" s="747"/>
      <c r="F101" s="747"/>
      <c r="G101" s="747"/>
      <c r="H101" s="747"/>
      <c r="I101" s="411">
        <f t="shared" si="24"/>
        <v>0</v>
      </c>
      <c r="J101" s="411" t="str">
        <f t="shared" si="25"/>
        <v/>
      </c>
      <c r="K101" s="749"/>
      <c r="L101" s="101"/>
    </row>
    <row r="102" spans="1:12" x14ac:dyDescent="0.25">
      <c r="A102" s="617" t="str">
        <f t="shared" si="26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4"/>
        <v>0</v>
      </c>
      <c r="J102" s="621" t="str">
        <f t="shared" si="25"/>
        <v/>
      </c>
      <c r="K102" s="752"/>
      <c r="L102" s="101"/>
    </row>
    <row r="103" spans="1:12" x14ac:dyDescent="0.25">
      <c r="A103" s="617" t="str">
        <f t="shared" si="26"/>
        <v>Health</v>
      </c>
      <c r="B103" s="630"/>
      <c r="C103" s="621">
        <f t="shared" ref="C103:K103" si="33">SUM(C104:C106)</f>
        <v>0</v>
      </c>
      <c r="D103" s="621">
        <f t="shared" si="33"/>
        <v>0</v>
      </c>
      <c r="E103" s="621">
        <f t="shared" si="33"/>
        <v>0</v>
      </c>
      <c r="F103" s="621">
        <f t="shared" si="33"/>
        <v>0</v>
      </c>
      <c r="G103" s="621">
        <f t="shared" si="33"/>
        <v>0</v>
      </c>
      <c r="H103" s="621">
        <f t="shared" si="33"/>
        <v>0</v>
      </c>
      <c r="I103" s="621">
        <f t="shared" si="24"/>
        <v>0</v>
      </c>
      <c r="J103" s="621" t="str">
        <f t="shared" si="25"/>
        <v/>
      </c>
      <c r="K103" s="624">
        <f t="shared" si="33"/>
        <v>0</v>
      </c>
      <c r="L103" s="101"/>
    </row>
    <row r="104" spans="1:12" x14ac:dyDescent="0.25">
      <c r="A104" s="705" t="str">
        <f t="shared" si="26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4"/>
        <v>0</v>
      </c>
      <c r="J104" s="411" t="str">
        <f t="shared" si="25"/>
        <v/>
      </c>
      <c r="K104" s="749"/>
      <c r="L104" s="101"/>
    </row>
    <row r="105" spans="1:12" x14ac:dyDescent="0.25">
      <c r="A105" s="705" t="str">
        <f t="shared" si="26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4"/>
        <v>0</v>
      </c>
      <c r="J105" s="411" t="str">
        <f t="shared" si="25"/>
        <v/>
      </c>
      <c r="K105" s="749"/>
      <c r="L105" s="101"/>
    </row>
    <row r="106" spans="1:12" x14ac:dyDescent="0.25">
      <c r="A106" s="705" t="str">
        <f t="shared" si="26"/>
        <v xml:space="preserve">Other   </v>
      </c>
      <c r="B106" s="630"/>
      <c r="C106" s="747"/>
      <c r="D106" s="747"/>
      <c r="E106" s="747"/>
      <c r="F106" s="747">
        <v>0</v>
      </c>
      <c r="G106" s="747"/>
      <c r="H106" s="747"/>
      <c r="I106" s="411">
        <f t="shared" si="24"/>
        <v>0</v>
      </c>
      <c r="J106" s="411" t="str">
        <f t="shared" si="25"/>
        <v/>
      </c>
      <c r="K106" s="749"/>
      <c r="L106" s="101"/>
    </row>
    <row r="107" spans="1:12" x14ac:dyDescent="0.25">
      <c r="A107" s="417" t="str">
        <f t="shared" si="26"/>
        <v>Economic and environmental services</v>
      </c>
      <c r="B107" s="630"/>
      <c r="C107" s="615">
        <f t="shared" ref="C107:K107" si="34">C108+C112+C118</f>
        <v>22716466</v>
      </c>
      <c r="D107" s="615">
        <f t="shared" si="34"/>
        <v>57088684.211060002</v>
      </c>
      <c r="E107" s="615">
        <f t="shared" si="34"/>
        <v>66942388.979894966</v>
      </c>
      <c r="F107" s="615">
        <f t="shared" si="34"/>
        <v>3915422.7900000005</v>
      </c>
      <c r="G107" s="615">
        <f t="shared" si="34"/>
        <v>39786541.060000002</v>
      </c>
      <c r="H107" s="615">
        <f t="shared" si="34"/>
        <v>38059122.807373345</v>
      </c>
      <c r="I107" s="615">
        <f t="shared" si="24"/>
        <v>1727418.2526266575</v>
      </c>
      <c r="J107" s="615">
        <f t="shared" si="25"/>
        <v>4.5387757919948639E-2</v>
      </c>
      <c r="K107" s="616">
        <f t="shared" si="34"/>
        <v>0</v>
      </c>
      <c r="L107" s="101"/>
    </row>
    <row r="108" spans="1:12" x14ac:dyDescent="0.25">
      <c r="A108" s="617" t="str">
        <f t="shared" si="26"/>
        <v>Planning and development</v>
      </c>
      <c r="B108" s="630"/>
      <c r="C108" s="621">
        <f t="shared" ref="C108:K108" si="35">SUM(C109:C111)</f>
        <v>0</v>
      </c>
      <c r="D108" s="621">
        <f t="shared" si="35"/>
        <v>13615925.372650001</v>
      </c>
      <c r="E108" s="621">
        <f t="shared" si="35"/>
        <v>49029837.520000003</v>
      </c>
      <c r="F108" s="621">
        <f t="shared" si="35"/>
        <v>2662365.9400000004</v>
      </c>
      <c r="G108" s="621">
        <f t="shared" si="35"/>
        <v>23461737.420000002</v>
      </c>
      <c r="H108" s="621">
        <f t="shared" si="35"/>
        <v>9077283.5817666687</v>
      </c>
      <c r="I108" s="621">
        <f t="shared" si="24"/>
        <v>14384453.838233333</v>
      </c>
      <c r="J108" s="621">
        <f t="shared" si="25"/>
        <v>1.5846650276661021</v>
      </c>
      <c r="K108" s="624">
        <f t="shared" si="35"/>
        <v>0</v>
      </c>
      <c r="L108" s="101"/>
    </row>
    <row r="109" spans="1:12" x14ac:dyDescent="0.25">
      <c r="A109" s="705" t="str">
        <f t="shared" si="26"/>
        <v xml:space="preserve">Economic Development/Planning </v>
      </c>
      <c r="B109" s="630"/>
      <c r="C109" s="747"/>
      <c r="D109" s="747">
        <v>7043244.8275999986</v>
      </c>
      <c r="E109" s="747">
        <v>47288376</v>
      </c>
      <c r="F109" s="747">
        <v>746249.55</v>
      </c>
      <c r="G109" s="747">
        <f>18723562.1+F109</f>
        <v>19469811.650000002</v>
      </c>
      <c r="H109" s="747">
        <f>D109/12*8</f>
        <v>4695496.5517333327</v>
      </c>
      <c r="I109" s="411">
        <f t="shared" si="24"/>
        <v>14774315.098266669</v>
      </c>
      <c r="J109" s="411">
        <f t="shared" si="25"/>
        <v>3.1464861991673194</v>
      </c>
      <c r="K109" s="749"/>
      <c r="L109" s="101"/>
    </row>
    <row r="110" spans="1:12" ht="22.5" x14ac:dyDescent="0.25">
      <c r="A110" s="705" t="str">
        <f t="shared" si="26"/>
        <v xml:space="preserve">Town Planning/Building enforcement </v>
      </c>
      <c r="B110" s="630"/>
      <c r="C110" s="747"/>
      <c r="D110" s="747">
        <v>6572680.5450500026</v>
      </c>
      <c r="E110" s="747">
        <v>1741461.5199999998</v>
      </c>
      <c r="F110" s="747">
        <v>1916116.3900000001</v>
      </c>
      <c r="G110" s="747">
        <f>2075809.38+F110</f>
        <v>3991925.77</v>
      </c>
      <c r="H110" s="747">
        <f>D110/12*8</f>
        <v>4381787.0300333351</v>
      </c>
      <c r="I110" s="411">
        <f t="shared" si="24"/>
        <v>-389861.26003333507</v>
      </c>
      <c r="J110" s="411">
        <f t="shared" si="25"/>
        <v>-8.8973119268731124E-2</v>
      </c>
      <c r="K110" s="749"/>
      <c r="L110" s="101"/>
    </row>
    <row r="111" spans="1:12" x14ac:dyDescent="0.25">
      <c r="A111" s="705" t="str">
        <f t="shared" si="26"/>
        <v>Licensing &amp; Regulation</v>
      </c>
      <c r="B111" s="630"/>
      <c r="C111" s="747"/>
      <c r="D111" s="747"/>
      <c r="E111" s="747"/>
      <c r="F111" s="747"/>
      <c r="G111" s="747"/>
      <c r="H111" s="747"/>
      <c r="I111" s="411">
        <f t="shared" si="24"/>
        <v>0</v>
      </c>
      <c r="J111" s="411" t="str">
        <f t="shared" si="25"/>
        <v/>
      </c>
      <c r="K111" s="749"/>
      <c r="L111" s="101"/>
    </row>
    <row r="112" spans="1:12" x14ac:dyDescent="0.25">
      <c r="A112" s="617" t="str">
        <f t="shared" si="26"/>
        <v>Road transport</v>
      </c>
      <c r="B112" s="630"/>
      <c r="C112" s="621">
        <f t="shared" ref="C112:K112" si="36">SUM(C113:C117)</f>
        <v>22716466</v>
      </c>
      <c r="D112" s="621">
        <f t="shared" si="36"/>
        <v>43472758.838410005</v>
      </c>
      <c r="E112" s="621">
        <f t="shared" si="36"/>
        <v>17912551.459894959</v>
      </c>
      <c r="F112" s="621">
        <f t="shared" si="36"/>
        <v>1253056.8500000001</v>
      </c>
      <c r="G112" s="621">
        <f t="shared" si="36"/>
        <v>16324803.639999999</v>
      </c>
      <c r="H112" s="621">
        <f t="shared" si="36"/>
        <v>28981839.225606672</v>
      </c>
      <c r="I112" s="621">
        <f t="shared" si="24"/>
        <v>-12657035.585606674</v>
      </c>
      <c r="J112" s="621">
        <f t="shared" si="25"/>
        <v>-0.43672299356431632</v>
      </c>
      <c r="K112" s="624">
        <f t="shared" si="36"/>
        <v>0</v>
      </c>
      <c r="L112" s="101"/>
    </row>
    <row r="113" spans="1:12" x14ac:dyDescent="0.25">
      <c r="A113" s="705" t="str">
        <f t="shared" si="26"/>
        <v>Roads</v>
      </c>
      <c r="B113" s="630"/>
      <c r="C113" s="747">
        <v>22716466</v>
      </c>
      <c r="D113" s="747">
        <v>26945560.582060009</v>
      </c>
      <c r="E113" s="747">
        <v>7297208</v>
      </c>
      <c r="F113" s="747">
        <v>209692.11</v>
      </c>
      <c r="G113" s="747">
        <f>11635627.76+F113</f>
        <v>11845319.869999999</v>
      </c>
      <c r="H113" s="747">
        <f>D113/12*8</f>
        <v>17963707.054706674</v>
      </c>
      <c r="I113" s="411">
        <f t="shared" si="24"/>
        <v>-6118387.1847066749</v>
      </c>
      <c r="J113" s="411">
        <f t="shared" si="25"/>
        <v>-0.34059713655281387</v>
      </c>
      <c r="K113" s="749"/>
      <c r="L113" s="101"/>
    </row>
    <row r="114" spans="1:12" x14ac:dyDescent="0.25">
      <c r="A114" s="705" t="str">
        <f t="shared" si="26"/>
        <v>Public Buses</v>
      </c>
      <c r="B114" s="630"/>
      <c r="C114" s="747"/>
      <c r="D114" s="747"/>
      <c r="E114" s="747">
        <v>0</v>
      </c>
      <c r="F114" s="747"/>
      <c r="G114" s="747"/>
      <c r="H114" s="747">
        <f t="shared" ref="H114:H115" si="37">D114/2</f>
        <v>0</v>
      </c>
      <c r="I114" s="411">
        <f t="shared" si="24"/>
        <v>0</v>
      </c>
      <c r="J114" s="411" t="str">
        <f t="shared" si="25"/>
        <v/>
      </c>
      <c r="K114" s="749"/>
      <c r="L114" s="101"/>
    </row>
    <row r="115" spans="1:12" x14ac:dyDescent="0.25">
      <c r="A115" s="705" t="str">
        <f t="shared" si="26"/>
        <v>Parking Garages</v>
      </c>
      <c r="B115" s="630"/>
      <c r="C115" s="747"/>
      <c r="D115" s="747"/>
      <c r="E115" s="747">
        <v>0</v>
      </c>
      <c r="F115" s="747"/>
      <c r="G115" s="747"/>
      <c r="H115" s="747">
        <f t="shared" si="37"/>
        <v>0</v>
      </c>
      <c r="I115" s="411">
        <f t="shared" si="24"/>
        <v>0</v>
      </c>
      <c r="J115" s="411" t="str">
        <f t="shared" si="25"/>
        <v/>
      </c>
      <c r="K115" s="749"/>
      <c r="L115" s="101"/>
    </row>
    <row r="116" spans="1:12" x14ac:dyDescent="0.25">
      <c r="A116" s="705" t="str">
        <f t="shared" si="26"/>
        <v>Vehicle Licensing and Testing</v>
      </c>
      <c r="B116" s="630"/>
      <c r="C116" s="747"/>
      <c r="D116" s="747">
        <v>11021607.432949999</v>
      </c>
      <c r="E116" s="747">
        <v>7860000</v>
      </c>
      <c r="F116" s="747">
        <v>1043364.74</v>
      </c>
      <c r="G116" s="747">
        <f>3436119.03+F116</f>
        <v>4479483.7699999996</v>
      </c>
      <c r="H116" s="747">
        <f>D116/12*8</f>
        <v>7347738.2886333326</v>
      </c>
      <c r="I116" s="411">
        <f t="shared" si="24"/>
        <v>-2868254.518633333</v>
      </c>
      <c r="J116" s="411">
        <f t="shared" si="25"/>
        <v>-0.39035882961025054</v>
      </c>
      <c r="K116" s="749"/>
      <c r="L116" s="101"/>
    </row>
    <row r="117" spans="1:12" x14ac:dyDescent="0.25">
      <c r="A117" s="705" t="str">
        <f t="shared" si="26"/>
        <v>Other</v>
      </c>
      <c r="B117" s="630"/>
      <c r="C117" s="747"/>
      <c r="D117" s="747">
        <v>5505590.8234000001</v>
      </c>
      <c r="E117" s="747">
        <v>2755343.4598949598</v>
      </c>
      <c r="F117" s="747"/>
      <c r="G117" s="747">
        <f>F117</f>
        <v>0</v>
      </c>
      <c r="H117" s="747">
        <f>D117/12*8</f>
        <v>3670393.8822666667</v>
      </c>
      <c r="I117" s="411">
        <f t="shared" si="24"/>
        <v>-3670393.8822666667</v>
      </c>
      <c r="J117" s="411">
        <f t="shared" si="25"/>
        <v>-1</v>
      </c>
      <c r="K117" s="749"/>
      <c r="L117" s="101"/>
    </row>
    <row r="118" spans="1:12" x14ac:dyDescent="0.25">
      <c r="A118" s="617" t="str">
        <f t="shared" si="26"/>
        <v>Environmental protection</v>
      </c>
      <c r="B118" s="630"/>
      <c r="C118" s="621">
        <f t="shared" ref="C118:K118" si="38">SUM(C119:C121)</f>
        <v>0</v>
      </c>
      <c r="D118" s="621">
        <f t="shared" si="38"/>
        <v>0</v>
      </c>
      <c r="E118" s="621">
        <f t="shared" si="38"/>
        <v>0</v>
      </c>
      <c r="F118" s="621">
        <f t="shared" si="38"/>
        <v>0</v>
      </c>
      <c r="G118" s="621">
        <f t="shared" si="38"/>
        <v>0</v>
      </c>
      <c r="H118" s="621">
        <f t="shared" si="38"/>
        <v>0</v>
      </c>
      <c r="I118" s="621">
        <f t="shared" si="24"/>
        <v>0</v>
      </c>
      <c r="J118" s="621" t="str">
        <f t="shared" si="25"/>
        <v/>
      </c>
      <c r="K118" s="624">
        <f t="shared" si="38"/>
        <v>0</v>
      </c>
      <c r="L118" s="101"/>
    </row>
    <row r="119" spans="1:12" x14ac:dyDescent="0.25">
      <c r="A119" s="705" t="str">
        <f t="shared" si="26"/>
        <v>Pollution Control</v>
      </c>
      <c r="B119" s="630"/>
      <c r="C119" s="747"/>
      <c r="D119" s="747"/>
      <c r="E119" s="747"/>
      <c r="F119" s="747"/>
      <c r="G119" s="747"/>
      <c r="H119" s="747"/>
      <c r="I119" s="411">
        <f t="shared" si="24"/>
        <v>0</v>
      </c>
      <c r="J119" s="411" t="str">
        <f t="shared" si="25"/>
        <v/>
      </c>
      <c r="K119" s="749"/>
      <c r="L119" s="101"/>
    </row>
    <row r="120" spans="1:12" x14ac:dyDescent="0.25">
      <c r="A120" s="705" t="str">
        <f t="shared" si="26"/>
        <v>Biodiversity &amp; Landscape</v>
      </c>
      <c r="B120" s="630"/>
      <c r="C120" s="747"/>
      <c r="D120" s="747"/>
      <c r="E120" s="747"/>
      <c r="F120" s="747"/>
      <c r="G120" s="747"/>
      <c r="H120" s="747"/>
      <c r="I120" s="411">
        <f t="shared" si="24"/>
        <v>0</v>
      </c>
      <c r="J120" s="411" t="str">
        <f t="shared" si="25"/>
        <v/>
      </c>
      <c r="K120" s="749"/>
      <c r="L120" s="101"/>
    </row>
    <row r="121" spans="1:12" x14ac:dyDescent="0.25">
      <c r="A121" s="705" t="str">
        <f t="shared" si="26"/>
        <v>Other</v>
      </c>
      <c r="B121" s="630"/>
      <c r="C121" s="747"/>
      <c r="D121" s="747"/>
      <c r="E121" s="747"/>
      <c r="F121" s="747"/>
      <c r="G121" s="747"/>
      <c r="H121" s="747"/>
      <c r="I121" s="411">
        <f t="shared" si="24"/>
        <v>0</v>
      </c>
      <c r="J121" s="411" t="str">
        <f t="shared" si="25"/>
        <v/>
      </c>
      <c r="K121" s="749"/>
      <c r="L121" s="101"/>
    </row>
    <row r="122" spans="1:12" x14ac:dyDescent="0.25">
      <c r="A122" s="417" t="str">
        <f t="shared" si="26"/>
        <v>Trading services</v>
      </c>
      <c r="B122" s="630"/>
      <c r="C122" s="615">
        <f>C123+C126+C129+C133</f>
        <v>35379867</v>
      </c>
      <c r="D122" s="615">
        <f t="shared" ref="D122:I122" si="39">D123+D126+D129+D133</f>
        <v>75590192.595104992</v>
      </c>
      <c r="E122" s="615">
        <f t="shared" si="39"/>
        <v>61817989</v>
      </c>
      <c r="F122" s="615">
        <f t="shared" si="39"/>
        <v>5394046.3399999999</v>
      </c>
      <c r="G122" s="615">
        <f t="shared" si="39"/>
        <v>38666929.260000005</v>
      </c>
      <c r="H122" s="615">
        <f t="shared" si="39"/>
        <v>50393461.730070002</v>
      </c>
      <c r="I122" s="615">
        <f t="shared" si="39"/>
        <v>-11726532.470070001</v>
      </c>
      <c r="J122" s="615">
        <f t="shared" si="25"/>
        <v>-0.23269948258134301</v>
      </c>
      <c r="K122" s="616">
        <f>K123+K126+K129+K133</f>
        <v>0</v>
      </c>
      <c r="L122" s="101"/>
    </row>
    <row r="123" spans="1:12" x14ac:dyDescent="0.25">
      <c r="A123" s="617" t="str">
        <f t="shared" si="26"/>
        <v>Electricity</v>
      </c>
      <c r="B123" s="630"/>
      <c r="C123" s="621">
        <f t="shared" ref="C123:K123" si="40">SUM(C124:C125)</f>
        <v>35132052</v>
      </c>
      <c r="D123" s="621">
        <f t="shared" si="40"/>
        <v>48889529.2445933</v>
      </c>
      <c r="E123" s="621">
        <f t="shared" si="40"/>
        <v>51580241</v>
      </c>
      <c r="F123" s="621">
        <f t="shared" si="40"/>
        <v>3209756.16</v>
      </c>
      <c r="G123" s="621">
        <f t="shared" si="40"/>
        <v>20486650.489999998</v>
      </c>
      <c r="H123" s="621">
        <f t="shared" si="40"/>
        <v>32593019.496395532</v>
      </c>
      <c r="I123" s="621">
        <f t="shared" si="24"/>
        <v>-12106369.006395534</v>
      </c>
      <c r="J123" s="621">
        <f t="shared" si="25"/>
        <v>-0.37144054749926986</v>
      </c>
      <c r="K123" s="624">
        <f t="shared" si="40"/>
        <v>0</v>
      </c>
      <c r="L123" s="101"/>
    </row>
    <row r="124" spans="1:12" x14ac:dyDescent="0.25">
      <c r="A124" s="705" t="str">
        <f t="shared" si="26"/>
        <v>Electricity Distribution</v>
      </c>
      <c r="B124" s="630"/>
      <c r="C124" s="747">
        <v>35132052</v>
      </c>
      <c r="D124" s="747">
        <v>48889529.2445933</v>
      </c>
      <c r="E124" s="747">
        <v>51580241</v>
      </c>
      <c r="F124" s="747">
        <v>3209756.16</v>
      </c>
      <c r="G124" s="747">
        <f>17276894.33+F124</f>
        <v>20486650.489999998</v>
      </c>
      <c r="H124" s="747">
        <f>D124/12*8</f>
        <v>32593019.496395532</v>
      </c>
      <c r="I124" s="411">
        <f t="shared" si="24"/>
        <v>-12106369.006395534</v>
      </c>
      <c r="J124" s="411">
        <f t="shared" si="25"/>
        <v>-0.37144054749926986</v>
      </c>
      <c r="K124" s="749"/>
      <c r="L124" s="101"/>
    </row>
    <row r="125" spans="1:12" x14ac:dyDescent="0.25">
      <c r="A125" s="705" t="str">
        <f t="shared" si="26"/>
        <v>Electricity Generation</v>
      </c>
      <c r="B125" s="630"/>
      <c r="C125" s="747"/>
      <c r="D125" s="747"/>
      <c r="E125" s="747"/>
      <c r="F125" s="747"/>
      <c r="G125" s="747"/>
      <c r="H125" s="747"/>
      <c r="I125" s="411">
        <f t="shared" si="24"/>
        <v>0</v>
      </c>
      <c r="J125" s="411" t="str">
        <f t="shared" si="25"/>
        <v/>
      </c>
      <c r="K125" s="749"/>
      <c r="L125" s="101"/>
    </row>
    <row r="126" spans="1:12" x14ac:dyDescent="0.25">
      <c r="A126" s="617" t="str">
        <f t="shared" si="26"/>
        <v>Water</v>
      </c>
      <c r="B126" s="630"/>
      <c r="C126" s="621">
        <f t="shared" ref="C126:K126" si="41">SUM(C127:C128)</f>
        <v>150566</v>
      </c>
      <c r="D126" s="621">
        <f t="shared" si="41"/>
        <v>7941888.9834000003</v>
      </c>
      <c r="E126" s="621">
        <f t="shared" si="41"/>
        <v>-8865082</v>
      </c>
      <c r="F126" s="621">
        <f t="shared" si="41"/>
        <v>980433</v>
      </c>
      <c r="G126" s="621">
        <f t="shared" si="41"/>
        <v>6328731.9000000004</v>
      </c>
      <c r="H126" s="621">
        <f t="shared" si="41"/>
        <v>5294592.6556000002</v>
      </c>
      <c r="I126" s="621">
        <f t="shared" si="24"/>
        <v>1034139.2444000002</v>
      </c>
      <c r="J126" s="621">
        <f t="shared" si="25"/>
        <v>0.19531988798160116</v>
      </c>
      <c r="K126" s="624">
        <f t="shared" si="41"/>
        <v>0</v>
      </c>
      <c r="L126" s="101"/>
    </row>
    <row r="127" spans="1:12" x14ac:dyDescent="0.25">
      <c r="A127" s="705" t="str">
        <f t="shared" si="26"/>
        <v>Water Distribution</v>
      </c>
      <c r="B127" s="630"/>
      <c r="C127" s="747">
        <v>150566</v>
      </c>
      <c r="D127" s="747">
        <v>7941888.9834000003</v>
      </c>
      <c r="E127" s="747">
        <v>-8865082</v>
      </c>
      <c r="F127" s="747">
        <f>1221960-241527</f>
        <v>980433</v>
      </c>
      <c r="G127" s="747">
        <f>5348298.9+F127</f>
        <v>6328731.9000000004</v>
      </c>
      <c r="H127" s="747">
        <f>D127/12*8</f>
        <v>5294592.6556000002</v>
      </c>
      <c r="I127" s="411">
        <f t="shared" si="24"/>
        <v>1034139.2444000002</v>
      </c>
      <c r="J127" s="411">
        <f t="shared" si="25"/>
        <v>0.19531988798160116</v>
      </c>
      <c r="K127" s="749"/>
      <c r="L127" s="101"/>
    </row>
    <row r="128" spans="1:12" x14ac:dyDescent="0.25">
      <c r="A128" s="705" t="str">
        <f t="shared" si="26"/>
        <v>Water Storage</v>
      </c>
      <c r="B128" s="630"/>
      <c r="C128" s="747"/>
      <c r="D128" s="747"/>
      <c r="E128" s="747"/>
      <c r="F128" s="747"/>
      <c r="G128" s="747"/>
      <c r="H128" s="747"/>
      <c r="I128" s="411">
        <f t="shared" si="24"/>
        <v>0</v>
      </c>
      <c r="J128" s="411" t="str">
        <f t="shared" si="25"/>
        <v/>
      </c>
      <c r="K128" s="749"/>
      <c r="L128" s="101"/>
    </row>
    <row r="129" spans="1:12" x14ac:dyDescent="0.25">
      <c r="A129" s="617" t="str">
        <f t="shared" si="26"/>
        <v>Waste water management</v>
      </c>
      <c r="B129" s="630"/>
      <c r="C129" s="621">
        <f t="shared" ref="C129:K129" si="42">SUM(C130:C132)</f>
        <v>0</v>
      </c>
      <c r="D129" s="621">
        <f t="shared" si="42"/>
        <v>12540437.093828721</v>
      </c>
      <c r="E129" s="621">
        <f t="shared" si="42"/>
        <v>12271999</v>
      </c>
      <c r="F129" s="621">
        <f t="shared" si="42"/>
        <v>826576.67000000016</v>
      </c>
      <c r="G129" s="621">
        <f t="shared" si="42"/>
        <v>8282213.3399999999</v>
      </c>
      <c r="H129" s="621">
        <f t="shared" si="42"/>
        <v>8360291.395885814</v>
      </c>
      <c r="I129" s="621">
        <f t="shared" si="24"/>
        <v>-78078.05588581413</v>
      </c>
      <c r="J129" s="621">
        <f t="shared" si="25"/>
        <v>-9.3391548438415857E-3</v>
      </c>
      <c r="K129" s="624">
        <f t="shared" si="42"/>
        <v>0</v>
      </c>
      <c r="L129" s="101"/>
    </row>
    <row r="130" spans="1:12" x14ac:dyDescent="0.25">
      <c r="A130" s="705" t="str">
        <f t="shared" si="26"/>
        <v>Sewerage</v>
      </c>
      <c r="B130" s="630"/>
      <c r="C130" s="747"/>
      <c r="D130" s="747">
        <v>12540437.093828721</v>
      </c>
      <c r="E130" s="747">
        <v>12271999</v>
      </c>
      <c r="F130" s="747">
        <v>826576.67000000016</v>
      </c>
      <c r="G130" s="747">
        <f>7455636.67+F130</f>
        <v>8282213.3399999999</v>
      </c>
      <c r="H130" s="747">
        <f>D130/12*8</f>
        <v>8360291.395885814</v>
      </c>
      <c r="I130" s="411">
        <f t="shared" si="24"/>
        <v>-78078.05588581413</v>
      </c>
      <c r="J130" s="411">
        <f t="shared" si="25"/>
        <v>-9.3391548438415857E-3</v>
      </c>
      <c r="K130" s="749"/>
      <c r="L130" s="101"/>
    </row>
    <row r="131" spans="1:12" x14ac:dyDescent="0.25">
      <c r="A131" s="705" t="str">
        <f t="shared" si="26"/>
        <v>Storm Water Management</v>
      </c>
      <c r="B131" s="630"/>
      <c r="C131" s="747"/>
      <c r="D131" s="747"/>
      <c r="E131" s="747"/>
      <c r="F131" s="747"/>
      <c r="G131" s="747"/>
      <c r="H131" s="747"/>
      <c r="I131" s="411">
        <f t="shared" si="24"/>
        <v>0</v>
      </c>
      <c r="J131" s="411" t="str">
        <f t="shared" si="25"/>
        <v/>
      </c>
      <c r="K131" s="749"/>
      <c r="L131" s="101"/>
    </row>
    <row r="132" spans="1:12" x14ac:dyDescent="0.25">
      <c r="A132" s="705" t="str">
        <f t="shared" si="26"/>
        <v>Public Toilets</v>
      </c>
      <c r="B132" s="630"/>
      <c r="C132" s="747"/>
      <c r="D132" s="747"/>
      <c r="E132" s="747"/>
      <c r="F132" s="747"/>
      <c r="G132" s="747"/>
      <c r="H132" s="747"/>
      <c r="I132" s="411">
        <f t="shared" si="24"/>
        <v>0</v>
      </c>
      <c r="J132" s="411" t="str">
        <f t="shared" si="25"/>
        <v/>
      </c>
      <c r="K132" s="749"/>
      <c r="L132" s="101"/>
    </row>
    <row r="133" spans="1:12" x14ac:dyDescent="0.25">
      <c r="A133" s="617" t="str">
        <f t="shared" si="26"/>
        <v>Waste management</v>
      </c>
      <c r="B133" s="630"/>
      <c r="C133" s="621">
        <f t="shared" ref="C133:K133" si="43">SUM(C134)</f>
        <v>97249</v>
      </c>
      <c r="D133" s="621">
        <f t="shared" si="43"/>
        <v>6218337.2732829805</v>
      </c>
      <c r="E133" s="621">
        <f t="shared" si="43"/>
        <v>6830831</v>
      </c>
      <c r="F133" s="621">
        <f t="shared" si="43"/>
        <v>377280.51</v>
      </c>
      <c r="G133" s="621">
        <f t="shared" si="43"/>
        <v>3569333.5300000003</v>
      </c>
      <c r="H133" s="621">
        <f t="shared" si="43"/>
        <v>4145558.1821886539</v>
      </c>
      <c r="I133" s="621">
        <f t="shared" si="24"/>
        <v>-576224.65218865359</v>
      </c>
      <c r="J133" s="621">
        <f t="shared" si="25"/>
        <v>-0.13899808587041346</v>
      </c>
      <c r="K133" s="624">
        <f t="shared" si="43"/>
        <v>0</v>
      </c>
      <c r="L133" s="101"/>
    </row>
    <row r="134" spans="1:12" x14ac:dyDescent="0.25">
      <c r="A134" s="705" t="str">
        <f t="shared" si="26"/>
        <v>Solid Waste</v>
      </c>
      <c r="B134" s="418"/>
      <c r="C134" s="747">
        <v>97249</v>
      </c>
      <c r="D134" s="747">
        <v>6218337.2732829805</v>
      </c>
      <c r="E134" s="747">
        <v>6830831</v>
      </c>
      <c r="F134" s="747">
        <v>377280.51</v>
      </c>
      <c r="G134" s="747">
        <f>3192053.02+F134</f>
        <v>3569333.5300000003</v>
      </c>
      <c r="H134" s="747">
        <v>4145558.1821886539</v>
      </c>
      <c r="I134" s="411">
        <f t="shared" si="24"/>
        <v>-576224.65218865359</v>
      </c>
      <c r="J134" s="411">
        <f t="shared" si="25"/>
        <v>-0.13899808587041346</v>
      </c>
      <c r="K134" s="749"/>
      <c r="L134" s="101"/>
    </row>
    <row r="135" spans="1:12" x14ac:dyDescent="0.25">
      <c r="A135" s="417" t="str">
        <f t="shared" si="26"/>
        <v>Other</v>
      </c>
      <c r="B135" s="418"/>
      <c r="C135" s="621">
        <f t="shared" ref="C135:K135" si="44">SUM(C136:C140)</f>
        <v>0</v>
      </c>
      <c r="D135" s="621">
        <f t="shared" si="44"/>
        <v>0</v>
      </c>
      <c r="E135" s="621">
        <f t="shared" si="44"/>
        <v>0</v>
      </c>
      <c r="F135" s="621">
        <f t="shared" si="44"/>
        <v>0</v>
      </c>
      <c r="G135" s="621">
        <f t="shared" si="44"/>
        <v>0</v>
      </c>
      <c r="H135" s="621">
        <f t="shared" si="44"/>
        <v>0</v>
      </c>
      <c r="I135" s="621">
        <f t="shared" si="24"/>
        <v>0</v>
      </c>
      <c r="J135" s="621" t="str">
        <f t="shared" si="25"/>
        <v/>
      </c>
      <c r="K135" s="624">
        <f t="shared" si="44"/>
        <v>0</v>
      </c>
      <c r="L135" s="101"/>
    </row>
    <row r="136" spans="1:12" x14ac:dyDescent="0.25">
      <c r="A136" s="617" t="str">
        <f t="shared" si="26"/>
        <v>Air Transport</v>
      </c>
      <c r="B136" s="418"/>
      <c r="C136" s="747"/>
      <c r="D136" s="747"/>
      <c r="E136" s="747"/>
      <c r="F136" s="747"/>
      <c r="G136" s="747"/>
      <c r="H136" s="747"/>
      <c r="I136" s="411">
        <f t="shared" si="24"/>
        <v>0</v>
      </c>
      <c r="J136" s="411" t="str">
        <f t="shared" si="25"/>
        <v/>
      </c>
      <c r="K136" s="749"/>
      <c r="L136" s="101"/>
    </row>
    <row r="137" spans="1:12" x14ac:dyDescent="0.25">
      <c r="A137" s="617" t="str">
        <f t="shared" si="26"/>
        <v>Abattoirs</v>
      </c>
      <c r="B137" s="418"/>
      <c r="C137" s="747"/>
      <c r="D137" s="747"/>
      <c r="E137" s="747"/>
      <c r="F137" s="747"/>
      <c r="G137" s="747"/>
      <c r="H137" s="747"/>
      <c r="I137" s="411">
        <f t="shared" si="24"/>
        <v>0</v>
      </c>
      <c r="J137" s="411" t="str">
        <f t="shared" si="25"/>
        <v/>
      </c>
      <c r="K137" s="749"/>
      <c r="L137" s="101"/>
    </row>
    <row r="138" spans="1:12" x14ac:dyDescent="0.25">
      <c r="A138" s="617" t="str">
        <f t="shared" si="26"/>
        <v>Tourism</v>
      </c>
      <c r="B138" s="418"/>
      <c r="C138" s="747"/>
      <c r="D138" s="747"/>
      <c r="E138" s="747"/>
      <c r="F138" s="747"/>
      <c r="G138" s="747"/>
      <c r="H138" s="747">
        <v>0</v>
      </c>
      <c r="I138" s="411">
        <f t="shared" si="24"/>
        <v>0</v>
      </c>
      <c r="J138" s="411" t="str">
        <f t="shared" si="25"/>
        <v/>
      </c>
      <c r="K138" s="749"/>
      <c r="L138" s="101"/>
    </row>
    <row r="139" spans="1:12" x14ac:dyDescent="0.25">
      <c r="A139" s="617" t="str">
        <f t="shared" si="26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284874946</v>
      </c>
      <c r="D141" s="549">
        <f t="shared" ref="D141:I141" si="45">D75+D85+D107+D122+D135</f>
        <v>256505812.39484406</v>
      </c>
      <c r="E141" s="549">
        <f t="shared" si="45"/>
        <v>283289814.31989497</v>
      </c>
      <c r="F141" s="549">
        <f t="shared" si="45"/>
        <v>16979240.98</v>
      </c>
      <c r="G141" s="549">
        <f t="shared" si="45"/>
        <v>167390780.93000001</v>
      </c>
      <c r="H141" s="549">
        <f t="shared" si="45"/>
        <v>171003874.92989606</v>
      </c>
      <c r="I141" s="549">
        <f t="shared" si="45"/>
        <v>-3613093.9998960504</v>
      </c>
      <c r="J141" s="549">
        <f>IF(I141=0,"",I141/H141)</f>
        <v>-2.1128725892189622E-2</v>
      </c>
      <c r="K141" s="607">
        <f>K75+K85+K107+K122+K135</f>
        <v>0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6">C72-C141</f>
        <v>-25301423</v>
      </c>
      <c r="D142" s="77">
        <f t="shared" si="46"/>
        <v>105703023.1179601</v>
      </c>
      <c r="E142" s="77">
        <f t="shared" si="46"/>
        <v>67694435.070105016</v>
      </c>
      <c r="F142" s="77">
        <f t="shared" si="46"/>
        <v>-9255834.9800000004</v>
      </c>
      <c r="G142" s="77">
        <f t="shared" si="46"/>
        <v>51248218.400000006</v>
      </c>
      <c r="H142" s="77">
        <f t="shared" si="46"/>
        <v>70468682.078640044</v>
      </c>
      <c r="I142" s="644">
        <f>G142-H142</f>
        <v>-19220463.678640038</v>
      </c>
      <c r="J142" s="644">
        <f>IF(I142=0,"",I142/H142)</f>
        <v>-0.27275185389717976</v>
      </c>
      <c r="K142" s="235">
        <f t="shared" si="46"/>
        <v>0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88" t="s">
        <v>235</v>
      </c>
      <c r="B147" s="988"/>
      <c r="C147" s="988"/>
      <c r="D147" s="988"/>
      <c r="E147" s="988"/>
      <c r="F147" s="988"/>
      <c r="G147" s="988"/>
      <c r="H147" s="988"/>
      <c r="I147" s="988"/>
      <c r="J147" s="988"/>
      <c r="K147" s="988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259573523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5" type="noConversion"/>
  <pageMargins left="0.75" right="0.75" top="1" bottom="1" header="0.5" footer="0.5"/>
  <pageSetup paperSize="9" scale="64" orientation="portrait" r:id="rId1"/>
  <headerFooter alignWithMargins="0"/>
  <rowBreaks count="1" manualBreakCount="1">
    <brk id="7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FA1C9-2B33-4B8A-B53C-8579CB05F571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155</vt:i4>
      </vt:variant>
    </vt:vector>
  </HeadingPairs>
  <TitlesOfParts>
    <vt:vector size="187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Info Tech</cp:lastModifiedBy>
  <cp:lastPrinted>2016-05-13T11:14:31Z</cp:lastPrinted>
  <dcterms:created xsi:type="dcterms:W3CDTF">2004-04-07T16:19:08Z</dcterms:created>
  <dcterms:modified xsi:type="dcterms:W3CDTF">2016-08-12T07:11:45Z</dcterms:modified>
</cp:coreProperties>
</file>