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8070" windowWidth="19440" windowHeight="624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'SC9'!$A$1:$Q$68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H62" i="325" l="1"/>
  <c r="H227" i="324"/>
  <c r="H226" i="324"/>
  <c r="H225" i="324"/>
  <c r="H224" i="324"/>
  <c r="H223" i="324"/>
  <c r="H222" i="324"/>
  <c r="H221" i="324"/>
  <c r="H219" i="324"/>
  <c r="H218" i="324"/>
  <c r="H217" i="324"/>
  <c r="H216" i="324"/>
  <c r="H215" i="324"/>
  <c r="H214" i="324"/>
  <c r="H213" i="324"/>
  <c r="H212" i="324"/>
  <c r="H211" i="324"/>
  <c r="H210" i="324"/>
  <c r="H197" i="324"/>
  <c r="H196" i="324"/>
  <c r="H195" i="324"/>
  <c r="H194" i="324"/>
  <c r="H193" i="324"/>
  <c r="H192" i="324"/>
  <c r="H191" i="324"/>
  <c r="H190" i="324"/>
  <c r="H189" i="324"/>
  <c r="H73" i="268"/>
  <c r="H66" i="268"/>
  <c r="H61" i="268"/>
  <c r="H60" i="268"/>
  <c r="H59" i="268"/>
  <c r="H58" i="268"/>
  <c r="H55" i="268"/>
  <c r="H50" i="268"/>
  <c r="H49" i="268"/>
  <c r="H46" i="268"/>
  <c r="H58" i="242"/>
  <c r="H36" i="242"/>
  <c r="H29" i="242"/>
  <c r="H23" i="242"/>
  <c r="H17" i="242"/>
  <c r="H13" i="242"/>
  <c r="H9" i="242"/>
  <c r="F34" i="318"/>
  <c r="F7" i="318"/>
  <c r="G37" i="318"/>
  <c r="G34" i="318"/>
  <c r="H7" i="177"/>
  <c r="H8" i="177"/>
  <c r="H9" i="177"/>
  <c r="H10" i="177"/>
  <c r="H11" i="177"/>
  <c r="H12" i="177"/>
  <c r="H15" i="177"/>
  <c r="H16" i="177"/>
  <c r="H17" i="177"/>
  <c r="H36" i="177"/>
  <c r="H27" i="177"/>
  <c r="H23" i="177"/>
  <c r="H124" i="330"/>
  <c r="H179" i="323"/>
  <c r="H225" i="323"/>
  <c r="H224" i="323"/>
  <c r="H223" i="323"/>
  <c r="H222" i="323"/>
  <c r="H221" i="323"/>
  <c r="H220" i="323"/>
  <c r="H219" i="323"/>
  <c r="H214" i="323"/>
  <c r="H213" i="323"/>
  <c r="H212" i="323"/>
  <c r="H211" i="323"/>
  <c r="H210" i="323"/>
  <c r="H209" i="323"/>
  <c r="H208" i="323"/>
  <c r="H197" i="323"/>
  <c r="H190" i="323"/>
  <c r="H189" i="323"/>
  <c r="H188" i="323"/>
  <c r="H187" i="323"/>
  <c r="H186" i="323"/>
  <c r="H178" i="323"/>
  <c r="H177" i="323"/>
  <c r="H176" i="323"/>
  <c r="H175" i="323"/>
  <c r="H174" i="323" s="1"/>
  <c r="H57" i="323"/>
  <c r="H56" i="323"/>
  <c r="H55" i="323"/>
  <c r="H54" i="323"/>
  <c r="H53" i="323"/>
  <c r="H52" i="323"/>
  <c r="H51" i="323"/>
  <c r="H46" i="323"/>
  <c r="H44" i="323"/>
  <c r="H43" i="323"/>
  <c r="H42" i="323"/>
  <c r="H41" i="323"/>
  <c r="H40" i="323"/>
  <c r="H29" i="323"/>
  <c r="H22" i="323"/>
  <c r="H21" i="323"/>
  <c r="H20" i="323"/>
  <c r="H19" i="323"/>
  <c r="H18" i="323"/>
  <c r="H11" i="323"/>
  <c r="H10" i="323"/>
  <c r="H9" i="323"/>
  <c r="H8" i="323"/>
  <c r="H7" i="323"/>
  <c r="H24" i="330"/>
  <c r="I24" i="330" s="1"/>
  <c r="J24" i="330" s="1"/>
  <c r="G10" i="330"/>
  <c r="H134" i="330"/>
  <c r="H130" i="330"/>
  <c r="H127" i="330"/>
  <c r="H117" i="330"/>
  <c r="H116" i="330"/>
  <c r="H113" i="330"/>
  <c r="H110" i="330"/>
  <c r="H109" i="330"/>
  <c r="H95" i="330"/>
  <c r="H93" i="330"/>
  <c r="H90" i="330"/>
  <c r="H87" i="330"/>
  <c r="H84" i="330"/>
  <c r="H82" i="330"/>
  <c r="H81" i="330"/>
  <c r="H79" i="330"/>
  <c r="H78" i="330"/>
  <c r="H77" i="330"/>
  <c r="H65" i="330"/>
  <c r="H61" i="330"/>
  <c r="H58" i="330"/>
  <c r="H55" i="330"/>
  <c r="H47" i="330"/>
  <c r="H41" i="330"/>
  <c r="H40" i="330"/>
  <c r="H26" i="330"/>
  <c r="H25" i="330"/>
  <c r="H22" i="330"/>
  <c r="H23" i="330"/>
  <c r="H21" i="330"/>
  <c r="H18" i="330"/>
  <c r="H15" i="330"/>
  <c r="H13" i="330"/>
  <c r="H12" i="330"/>
  <c r="H10" i="330"/>
  <c r="H9" i="330"/>
  <c r="H8" i="330"/>
  <c r="H26" i="182"/>
  <c r="H30" i="182"/>
  <c r="H31" i="182"/>
  <c r="H32" i="182"/>
  <c r="H33" i="182"/>
  <c r="H34" i="182"/>
  <c r="H35" i="182"/>
  <c r="H15" i="182"/>
  <c r="H6" i="182"/>
  <c r="H21" i="182"/>
  <c r="H20" i="182"/>
  <c r="H18" i="182"/>
  <c r="H17" i="182"/>
  <c r="H14" i="182"/>
  <c r="H13" i="182"/>
  <c r="H11" i="182"/>
  <c r="H10" i="182"/>
  <c r="H9" i="182"/>
  <c r="H8" i="182"/>
  <c r="G18" i="323" l="1"/>
  <c r="G40" i="323"/>
  <c r="G35" i="182"/>
  <c r="G34" i="182"/>
  <c r="G33" i="182"/>
  <c r="G32" i="182"/>
  <c r="G31" i="182"/>
  <c r="G30" i="182"/>
  <c r="G27" i="182"/>
  <c r="G26" i="182"/>
  <c r="G21" i="182"/>
  <c r="G20" i="182"/>
  <c r="G18" i="182"/>
  <c r="G15" i="182"/>
  <c r="G14" i="182"/>
  <c r="G13" i="182"/>
  <c r="G11" i="182"/>
  <c r="G10" i="182"/>
  <c r="G9" i="182"/>
  <c r="G8" i="182"/>
  <c r="G42" i="323"/>
  <c r="G224" i="323"/>
  <c r="G223" i="323"/>
  <c r="G222" i="323"/>
  <c r="G221" i="323"/>
  <c r="G220" i="323"/>
  <c r="G219" i="323"/>
  <c r="G214" i="323"/>
  <c r="G209" i="323"/>
  <c r="G208" i="323"/>
  <c r="G197" i="323"/>
  <c r="G187" i="323"/>
  <c r="G186" i="323"/>
  <c r="G178" i="323"/>
  <c r="G175" i="323"/>
  <c r="G56" i="323"/>
  <c r="G55" i="323"/>
  <c r="G54" i="323"/>
  <c r="G51" i="323"/>
  <c r="G46" i="323"/>
  <c r="G41" i="323"/>
  <c r="G29" i="323"/>
  <c r="G19" i="323"/>
  <c r="G134" i="330"/>
  <c r="G130" i="330"/>
  <c r="G127" i="330"/>
  <c r="G124" i="330"/>
  <c r="G116" i="330"/>
  <c r="G113" i="330"/>
  <c r="G110" i="330"/>
  <c r="G109" i="330"/>
  <c r="G95" i="330"/>
  <c r="G93" i="330"/>
  <c r="G90" i="330"/>
  <c r="G87" i="330"/>
  <c r="G81" i="330"/>
  <c r="G79" i="330"/>
  <c r="G78" i="330"/>
  <c r="G77" i="330"/>
  <c r="G65" i="330"/>
  <c r="G61" i="330"/>
  <c r="G58" i="330"/>
  <c r="G47" i="330"/>
  <c r="G41" i="330"/>
  <c r="G40" i="330"/>
  <c r="G21" i="330"/>
  <c r="G18" i="330"/>
  <c r="G12" i="330"/>
  <c r="G62" i="325"/>
  <c r="G212" i="324"/>
  <c r="G222" i="324"/>
  <c r="G55" i="268"/>
  <c r="G49" i="268"/>
  <c r="G29" i="242"/>
  <c r="G9" i="242"/>
  <c r="I46" i="317"/>
  <c r="G9" i="269"/>
  <c r="G27" i="177" l="1"/>
  <c r="G17" i="177"/>
  <c r="G12" i="177"/>
  <c r="G9" i="177"/>
  <c r="G8" i="177"/>
  <c r="G7" i="177"/>
  <c r="F15" i="177"/>
  <c r="F9" i="177"/>
  <c r="G28" i="323"/>
  <c r="F6" i="182" l="1"/>
  <c r="G6" i="182" s="1"/>
  <c r="G50" i="268" l="1"/>
  <c r="G227" i="324" l="1"/>
  <c r="G59" i="268"/>
  <c r="G213" i="324"/>
  <c r="H230" i="324" l="1"/>
  <c r="H229" i="324"/>
  <c r="H228" i="324"/>
  <c r="H199" i="324"/>
  <c r="H188" i="324"/>
  <c r="H62" i="268"/>
  <c r="H56" i="268"/>
  <c r="H54" i="268"/>
  <c r="H52" i="268"/>
  <c r="H51" i="268"/>
  <c r="H48" i="268"/>
  <c r="H45" i="268"/>
  <c r="H44" i="268"/>
  <c r="H207" i="323"/>
  <c r="H228" i="323"/>
  <c r="H227" i="323"/>
  <c r="H226" i="323"/>
  <c r="H217" i="323"/>
  <c r="H216" i="323"/>
  <c r="H215" i="323"/>
  <c r="H195" i="323"/>
  <c r="H194" i="323"/>
  <c r="H193" i="323"/>
  <c r="H192" i="323"/>
  <c r="H191" i="323"/>
  <c r="H184" i="323"/>
  <c r="H183" i="323"/>
  <c r="H182" i="323"/>
  <c r="H181" i="323"/>
  <c r="H180" i="323"/>
  <c r="H49" i="323"/>
  <c r="H48" i="323"/>
  <c r="H47" i="323"/>
  <c r="H45" i="323"/>
  <c r="H27" i="323"/>
  <c r="H26" i="323"/>
  <c r="H25" i="323"/>
  <c r="H24" i="323"/>
  <c r="H23" i="323"/>
  <c r="H16" i="323"/>
  <c r="H15" i="323"/>
  <c r="H14" i="323"/>
  <c r="H13" i="323"/>
  <c r="H12" i="323"/>
  <c r="H115" i="330"/>
  <c r="H114" i="330"/>
  <c r="H94" i="330"/>
  <c r="H92" i="330"/>
  <c r="H91" i="330"/>
  <c r="H89" i="330"/>
  <c r="H88" i="330"/>
  <c r="H7" i="330"/>
  <c r="H20" i="330"/>
  <c r="H19" i="330"/>
  <c r="H14" i="330"/>
  <c r="H42" i="330"/>
  <c r="F7" i="330" l="1"/>
  <c r="G7" i="330"/>
  <c r="G207" i="323" l="1"/>
  <c r="C39" i="178" l="1"/>
  <c r="C33" i="178"/>
  <c r="C34" i="178"/>
  <c r="C20" i="178"/>
  <c r="C10" i="330"/>
  <c r="C14" i="182"/>
  <c r="C81" i="330"/>
  <c r="C77" i="330"/>
  <c r="C79" i="330"/>
  <c r="C55" i="330"/>
  <c r="C40" i="330"/>
  <c r="C12" i="330"/>
  <c r="C47" i="330"/>
  <c r="C21" i="182"/>
  <c r="H13" i="177" l="1"/>
  <c r="J5" i="238" l="1"/>
  <c r="H28" i="270" l="1"/>
  <c r="F7" i="238"/>
  <c r="K36" i="177"/>
  <c r="D189" i="324" l="1"/>
  <c r="D225" i="324"/>
  <c r="D191" i="324"/>
  <c r="F340" i="323" l="1"/>
  <c r="G174" i="323"/>
  <c r="G185" i="323"/>
  <c r="G196" i="323"/>
  <c r="G218" i="323"/>
  <c r="G339" i="323" l="1"/>
  <c r="A93" i="330"/>
  <c r="I93" i="330"/>
  <c r="J93" i="330" s="1"/>
  <c r="I8" i="177" l="1"/>
  <c r="J8" i="177" s="1"/>
  <c r="I9" i="177"/>
  <c r="J9" i="177" s="1"/>
  <c r="H40" i="177" l="1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30" i="334"/>
  <c r="G29" i="334"/>
  <c r="F46" i="334"/>
  <c r="G46" i="334" s="1"/>
  <c r="F45" i="334"/>
  <c r="F44" i="334" s="1"/>
  <c r="F43" i="334"/>
  <c r="G43" i="334"/>
  <c r="F42" i="334"/>
  <c r="G42" i="334"/>
  <c r="F40" i="334"/>
  <c r="G40" i="334"/>
  <c r="F39" i="334"/>
  <c r="F38" i="334"/>
  <c r="F37" i="334"/>
  <c r="G37" i="334"/>
  <c r="F36" i="334"/>
  <c r="G36" i="334"/>
  <c r="F35" i="334"/>
  <c r="G35" i="334"/>
  <c r="F34" i="334"/>
  <c r="G34" i="334"/>
  <c r="F33" i="334"/>
  <c r="G33" i="334"/>
  <c r="F32" i="334"/>
  <c r="G32" i="334" s="1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C80" i="172" s="1"/>
  <c r="B80" i="172" s="1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E47" i="334" s="1"/>
  <c r="D31" i="334"/>
  <c r="D47" i="334" s="1"/>
  <c r="C31" i="334"/>
  <c r="C47" i="334" s="1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/>
  <c r="D8" i="334"/>
  <c r="D28" i="334" s="1"/>
  <c r="C8" i="334"/>
  <c r="C28" i="334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 s="1"/>
  <c r="I40" i="318"/>
  <c r="J40" i="318" s="1"/>
  <c r="I39" i="318"/>
  <c r="J39" i="318" s="1"/>
  <c r="I34" i="318"/>
  <c r="J34" i="318" s="1"/>
  <c r="I35" i="318"/>
  <c r="J35" i="318" s="1"/>
  <c r="I36" i="318"/>
  <c r="J36" i="318" s="1"/>
  <c r="I37" i="318"/>
  <c r="J37" i="318" s="1"/>
  <c r="I38" i="318"/>
  <c r="J38" i="318" s="1"/>
  <c r="I42" i="318"/>
  <c r="J42" i="318" s="1"/>
  <c r="I43" i="318"/>
  <c r="J43" i="318" s="1"/>
  <c r="I44" i="318"/>
  <c r="J44" i="318" s="1"/>
  <c r="I45" i="318"/>
  <c r="J45" i="318" s="1"/>
  <c r="I23" i="318"/>
  <c r="J23" i="318" s="1"/>
  <c r="I25" i="318"/>
  <c r="J25" i="318" s="1"/>
  <c r="I24" i="318"/>
  <c r="J24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/>
  <c r="I81" i="333"/>
  <c r="J81" i="333"/>
  <c r="I80" i="333"/>
  <c r="J80" i="333"/>
  <c r="I79" i="333"/>
  <c r="J79" i="333"/>
  <c r="K78" i="333"/>
  <c r="H78" i="333"/>
  <c r="H52" i="333" s="1"/>
  <c r="G78" i="333"/>
  <c r="I78" i="333"/>
  <c r="J78" i="333" s="1"/>
  <c r="F78" i="333"/>
  <c r="F52" i="333" s="1"/>
  <c r="F50" i="333" s="1"/>
  <c r="E78" i="333"/>
  <c r="D78" i="333"/>
  <c r="C78" i="333"/>
  <c r="I74" i="333"/>
  <c r="J74" i="333" s="1"/>
  <c r="I73" i="333"/>
  <c r="J73" i="333" s="1"/>
  <c r="K72" i="333"/>
  <c r="H72" i="333"/>
  <c r="G72" i="333"/>
  <c r="I72" i="333" s="1"/>
  <c r="J72" i="333" s="1"/>
  <c r="F72" i="333"/>
  <c r="E72" i="333"/>
  <c r="D72" i="333"/>
  <c r="C72" i="333"/>
  <c r="I70" i="333"/>
  <c r="J70" i="333"/>
  <c r="I69" i="333"/>
  <c r="J69" i="333"/>
  <c r="K68" i="333"/>
  <c r="H68" i="333"/>
  <c r="G68" i="333"/>
  <c r="I68" i="333"/>
  <c r="J68" i="333" s="1"/>
  <c r="F68" i="333"/>
  <c r="E68" i="333"/>
  <c r="D68" i="333"/>
  <c r="C68" i="333"/>
  <c r="J67" i="333"/>
  <c r="I66" i="333"/>
  <c r="J66" i="333"/>
  <c r="I65" i="333"/>
  <c r="J65" i="333"/>
  <c r="K64" i="333"/>
  <c r="H64" i="333"/>
  <c r="G64" i="333"/>
  <c r="I64" i="333"/>
  <c r="J64" i="333" s="1"/>
  <c r="F64" i="333"/>
  <c r="E64" i="333"/>
  <c r="D64" i="333"/>
  <c r="C64" i="333"/>
  <c r="J63" i="333"/>
  <c r="I62" i="333"/>
  <c r="J62" i="333" s="1"/>
  <c r="I61" i="333"/>
  <c r="J61" i="333"/>
  <c r="I60" i="333"/>
  <c r="J60" i="333"/>
  <c r="I59" i="333"/>
  <c r="J59" i="333"/>
  <c r="I58" i="333"/>
  <c r="J58" i="333"/>
  <c r="I57" i="333"/>
  <c r="J57" i="333"/>
  <c r="I56" i="333"/>
  <c r="J56" i="333"/>
  <c r="I55" i="333"/>
  <c r="J55" i="333"/>
  <c r="I54" i="333"/>
  <c r="J54" i="333"/>
  <c r="I53" i="333"/>
  <c r="J53" i="333"/>
  <c r="K52" i="333"/>
  <c r="K50" i="333"/>
  <c r="G52" i="333"/>
  <c r="E52" i="333"/>
  <c r="E50" i="333" s="1"/>
  <c r="D52" i="333"/>
  <c r="D50" i="333" s="1"/>
  <c r="C52" i="333"/>
  <c r="C50" i="333" s="1"/>
  <c r="I51" i="333"/>
  <c r="J51" i="333" s="1"/>
  <c r="J49" i="333"/>
  <c r="I49" i="333"/>
  <c r="J48" i="333"/>
  <c r="I48" i="333"/>
  <c r="K47" i="333"/>
  <c r="H47" i="333"/>
  <c r="G47" i="333"/>
  <c r="I47" i="333" s="1"/>
  <c r="J47" i="333" s="1"/>
  <c r="F47" i="333"/>
  <c r="E47" i="333"/>
  <c r="D47" i="333"/>
  <c r="C47" i="333"/>
  <c r="I46" i="333"/>
  <c r="J46" i="333"/>
  <c r="I45" i="333"/>
  <c r="J45" i="333"/>
  <c r="I44" i="333"/>
  <c r="J44" i="333"/>
  <c r="K43" i="333"/>
  <c r="H43" i="333"/>
  <c r="I43" i="333" s="1"/>
  <c r="J43" i="333" s="1"/>
  <c r="G43" i="333"/>
  <c r="F43" i="333"/>
  <c r="E43" i="333"/>
  <c r="D43" i="333"/>
  <c r="C43" i="333"/>
  <c r="J42" i="333"/>
  <c r="I42" i="333"/>
  <c r="J41" i="333"/>
  <c r="I41" i="333"/>
  <c r="J40" i="333"/>
  <c r="I40" i="333"/>
  <c r="J39" i="333"/>
  <c r="I39" i="333"/>
  <c r="J38" i="333"/>
  <c r="I38" i="333"/>
  <c r="J37" i="333"/>
  <c r="I37" i="333"/>
  <c r="J36" i="333"/>
  <c r="I36" i="333"/>
  <c r="J35" i="333"/>
  <c r="I35" i="333"/>
  <c r="J34" i="333"/>
  <c r="I34" i="333"/>
  <c r="J33" i="333"/>
  <c r="I33" i="333"/>
  <c r="J32" i="333"/>
  <c r="I32" i="333"/>
  <c r="J31" i="333"/>
  <c r="I31" i="333"/>
  <c r="J30" i="333"/>
  <c r="I30" i="333"/>
  <c r="J29" i="333"/>
  <c r="I29" i="333"/>
  <c r="K28" i="333"/>
  <c r="H28" i="333"/>
  <c r="G28" i="333"/>
  <c r="I28" i="333" s="1"/>
  <c r="J28" i="333" s="1"/>
  <c r="F28" i="333"/>
  <c r="E28" i="333"/>
  <c r="D28" i="333"/>
  <c r="C28" i="333"/>
  <c r="J27" i="333"/>
  <c r="J26" i="333"/>
  <c r="I26" i="333"/>
  <c r="J25" i="333"/>
  <c r="I25" i="333"/>
  <c r="J24" i="333"/>
  <c r="I24" i="333"/>
  <c r="J23" i="333"/>
  <c r="I23" i="333"/>
  <c r="K22" i="333"/>
  <c r="H22" i="333"/>
  <c r="G22" i="333"/>
  <c r="I22" i="333" s="1"/>
  <c r="J22" i="333" s="1"/>
  <c r="F22" i="333"/>
  <c r="E22" i="333"/>
  <c r="D22" i="333"/>
  <c r="C22" i="333"/>
  <c r="I21" i="333"/>
  <c r="J21" i="333"/>
  <c r="I20" i="333"/>
  <c r="J20" i="333"/>
  <c r="K19" i="333"/>
  <c r="H19" i="333"/>
  <c r="I19" i="333" s="1"/>
  <c r="J19" i="333" s="1"/>
  <c r="G19" i="333"/>
  <c r="F19" i="333"/>
  <c r="E19" i="333"/>
  <c r="D19" i="333"/>
  <c r="C19" i="333"/>
  <c r="J18" i="333"/>
  <c r="I18" i="333"/>
  <c r="J17" i="333"/>
  <c r="I17" i="333"/>
  <c r="J16" i="333"/>
  <c r="I16" i="333"/>
  <c r="K15" i="333"/>
  <c r="H15" i="333"/>
  <c r="G15" i="333"/>
  <c r="I15" i="333" s="1"/>
  <c r="J15" i="333" s="1"/>
  <c r="F15" i="333"/>
  <c r="E15" i="333"/>
  <c r="D15" i="333"/>
  <c r="C15" i="333"/>
  <c r="I14" i="333"/>
  <c r="J14" i="333"/>
  <c r="I13" i="333"/>
  <c r="J13" i="333"/>
  <c r="I12" i="333"/>
  <c r="J12" i="333"/>
  <c r="K11" i="333"/>
  <c r="H11" i="333"/>
  <c r="I11" i="333" s="1"/>
  <c r="J11" i="333" s="1"/>
  <c r="G11" i="333"/>
  <c r="F11" i="333"/>
  <c r="E11" i="333"/>
  <c r="D11" i="333"/>
  <c r="C11" i="333"/>
  <c r="J10" i="333"/>
  <c r="I10" i="333"/>
  <c r="J9" i="333"/>
  <c r="I9" i="333"/>
  <c r="K8" i="333"/>
  <c r="K7" i="333" s="1"/>
  <c r="K76" i="333" s="1"/>
  <c r="H8" i="333"/>
  <c r="G8" i="333"/>
  <c r="I8" i="333" s="1"/>
  <c r="J8" i="333" s="1"/>
  <c r="F8" i="333"/>
  <c r="F7" i="333"/>
  <c r="F76" i="333" s="1"/>
  <c r="E8" i="333"/>
  <c r="E7" i="333" s="1"/>
  <c r="E76" i="333" s="1"/>
  <c r="D8" i="333"/>
  <c r="D7" i="333"/>
  <c r="D76" i="333" s="1"/>
  <c r="C8" i="333"/>
  <c r="C7" i="333" s="1"/>
  <c r="C76" i="333" s="1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I174" i="323"/>
  <c r="J174" i="323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 s="1"/>
  <c r="D3" i="332"/>
  <c r="A4" i="332"/>
  <c r="A196" i="323" s="1"/>
  <c r="A8" i="268"/>
  <c r="D4" i="332"/>
  <c r="A5" i="332"/>
  <c r="A207" i="323" s="1"/>
  <c r="D5" i="332"/>
  <c r="A6" i="332"/>
  <c r="A218" i="323" s="1"/>
  <c r="D6" i="332"/>
  <c r="A7" i="332"/>
  <c r="A229" i="323" s="1"/>
  <c r="D7" i="332"/>
  <c r="A8" i="332"/>
  <c r="A240" i="323" s="1"/>
  <c r="D8" i="332"/>
  <c r="A9" i="332"/>
  <c r="A251" i="323" s="1"/>
  <c r="D9" i="332"/>
  <c r="A10" i="332"/>
  <c r="A14" i="268"/>
  <c r="D10" i="332"/>
  <c r="A11" i="332"/>
  <c r="A105" i="323" s="1"/>
  <c r="D11" i="332"/>
  <c r="A12" i="332"/>
  <c r="A16" i="268"/>
  <c r="D12" i="332"/>
  <c r="A13" i="332"/>
  <c r="A35" i="268" s="1"/>
  <c r="A14" i="332"/>
  <c r="A18" i="268" s="1"/>
  <c r="D14" i="332"/>
  <c r="A15" i="332"/>
  <c r="A37" i="268"/>
  <c r="D15" i="332"/>
  <c r="A16" i="332"/>
  <c r="A20" i="268" s="1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G24" i="272"/>
  <c r="I41" i="182"/>
  <c r="J41" i="182" s="1"/>
  <c r="I42" i="182"/>
  <c r="J42" i="182"/>
  <c r="I40" i="182"/>
  <c r="J40" i="182" s="1"/>
  <c r="K70" i="268"/>
  <c r="H12" i="238"/>
  <c r="F12" i="238"/>
  <c r="F24" i="238" s="1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I35" i="241" s="1"/>
  <c r="J35" i="241" s="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H17" i="267" s="1"/>
  <c r="I17" i="267" s="1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I66" i="268"/>
  <c r="K185" i="323"/>
  <c r="K196" i="323"/>
  <c r="K207" i="323"/>
  <c r="K218" i="323"/>
  <c r="K229" i="323"/>
  <c r="K240" i="323"/>
  <c r="K251" i="323"/>
  <c r="K262" i="323"/>
  <c r="K273" i="323"/>
  <c r="K284" i="323"/>
  <c r="K295" i="323"/>
  <c r="K306" i="323"/>
  <c r="K317" i="323"/>
  <c r="K328" i="323"/>
  <c r="H185" i="323"/>
  <c r="I185" i="323" s="1"/>
  <c r="J185" i="323" s="1"/>
  <c r="H196" i="323"/>
  <c r="H26" i="272" s="1"/>
  <c r="H27" i="272"/>
  <c r="H218" i="323"/>
  <c r="H28" i="272" s="1"/>
  <c r="H229" i="323"/>
  <c r="H240" i="323"/>
  <c r="H251" i="323"/>
  <c r="H262" i="323"/>
  <c r="H273" i="323"/>
  <c r="H284" i="323"/>
  <c r="H295" i="323"/>
  <c r="H306" i="323"/>
  <c r="H317" i="323"/>
  <c r="H328" i="323"/>
  <c r="G229" i="323"/>
  <c r="G240" i="323"/>
  <c r="G251" i="323"/>
  <c r="G262" i="323"/>
  <c r="G273" i="323"/>
  <c r="G284" i="323"/>
  <c r="G295" i="323"/>
  <c r="G306" i="323"/>
  <c r="G317" i="323"/>
  <c r="G328" i="323"/>
  <c r="F185" i="323"/>
  <c r="F196" i="323"/>
  <c r="F207" i="323"/>
  <c r="F218" i="323"/>
  <c r="F229" i="323"/>
  <c r="F240" i="323"/>
  <c r="F251" i="323"/>
  <c r="F262" i="323"/>
  <c r="F273" i="323"/>
  <c r="F284" i="323"/>
  <c r="F295" i="323"/>
  <c r="F306" i="323"/>
  <c r="F317" i="323"/>
  <c r="F328" i="323"/>
  <c r="E185" i="323"/>
  <c r="E196" i="323"/>
  <c r="E207" i="323"/>
  <c r="E218" i="323"/>
  <c r="E229" i="323"/>
  <c r="E240" i="323"/>
  <c r="E251" i="323"/>
  <c r="E262" i="323"/>
  <c r="E273" i="323"/>
  <c r="E284" i="323"/>
  <c r="E295" i="323"/>
  <c r="E306" i="323"/>
  <c r="E317" i="323"/>
  <c r="E328" i="323"/>
  <c r="D185" i="323"/>
  <c r="D196" i="323"/>
  <c r="D207" i="323"/>
  <c r="D218" i="323"/>
  <c r="D229" i="323"/>
  <c r="D240" i="323"/>
  <c r="D251" i="323"/>
  <c r="D262" i="323"/>
  <c r="D273" i="323"/>
  <c r="D284" i="323"/>
  <c r="D295" i="323"/>
  <c r="D306" i="323"/>
  <c r="D317" i="323"/>
  <c r="D328" i="323"/>
  <c r="C185" i="323"/>
  <c r="C196" i="323"/>
  <c r="C207" i="323"/>
  <c r="C218" i="323"/>
  <c r="C229" i="323"/>
  <c r="C240" i="323"/>
  <c r="C251" i="323"/>
  <c r="C262" i="323"/>
  <c r="C273" i="323"/>
  <c r="C284" i="323"/>
  <c r="C295" i="323"/>
  <c r="C306" i="323"/>
  <c r="C317" i="323"/>
  <c r="C328" i="323"/>
  <c r="D28" i="177"/>
  <c r="D18" i="177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 s="1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25" i="268" s="1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/>
  <c r="E297" i="324"/>
  <c r="E35" i="268"/>
  <c r="D297" i="324"/>
  <c r="D35" i="268"/>
  <c r="G286" i="324"/>
  <c r="G34" i="268"/>
  <c r="H286" i="324"/>
  <c r="H34" i="268"/>
  <c r="F286" i="324"/>
  <c r="F34" i="268"/>
  <c r="E286" i="324"/>
  <c r="E34" i="268"/>
  <c r="D286" i="324"/>
  <c r="D34" i="268"/>
  <c r="G275" i="324"/>
  <c r="G33" i="268"/>
  <c r="H275" i="324"/>
  <c r="H33" i="268"/>
  <c r="F275" i="324"/>
  <c r="F33" i="268"/>
  <c r="E275" i="324"/>
  <c r="E33" i="268"/>
  <c r="D275" i="324"/>
  <c r="D33" i="268"/>
  <c r="G264" i="324"/>
  <c r="G32" i="268"/>
  <c r="H264" i="324"/>
  <c r="H32" i="268"/>
  <c r="F264" i="324"/>
  <c r="F32" i="268"/>
  <c r="E264" i="324"/>
  <c r="E32" i="268"/>
  <c r="D264" i="324"/>
  <c r="D32" i="268"/>
  <c r="G253" i="324"/>
  <c r="G31" i="268"/>
  <c r="H253" i="324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/>
  <c r="E231" i="324"/>
  <c r="E29" i="268"/>
  <c r="D231" i="324"/>
  <c r="D29" i="268"/>
  <c r="G220" i="324"/>
  <c r="G28" i="268" s="1"/>
  <c r="H220" i="324"/>
  <c r="H28" i="268" s="1"/>
  <c r="F220" i="324"/>
  <c r="F28" i="268" s="1"/>
  <c r="E220" i="324"/>
  <c r="E28" i="268" s="1"/>
  <c r="D220" i="324"/>
  <c r="D28" i="268" s="1"/>
  <c r="G209" i="324"/>
  <c r="G27" i="268" s="1"/>
  <c r="F209" i="324"/>
  <c r="F27" i="268" s="1"/>
  <c r="E209" i="324"/>
  <c r="E27" i="268" s="1"/>
  <c r="D209" i="324"/>
  <c r="D27" i="268" s="1"/>
  <c r="G198" i="324"/>
  <c r="G26" i="268" s="1"/>
  <c r="H198" i="324"/>
  <c r="H26" i="268" s="1"/>
  <c r="F198" i="324"/>
  <c r="F26" i="268" s="1"/>
  <c r="E198" i="324"/>
  <c r="E26" i="268" s="1"/>
  <c r="D198" i="324"/>
  <c r="D26" i="268" s="1"/>
  <c r="G187" i="324"/>
  <c r="G25" i="268" s="1"/>
  <c r="H187" i="324"/>
  <c r="H25" i="268" s="1"/>
  <c r="F187" i="324"/>
  <c r="F25" i="268" s="1"/>
  <c r="E187" i="324"/>
  <c r="E25" i="268" s="1"/>
  <c r="D187" i="324"/>
  <c r="D25" i="268" s="1"/>
  <c r="G176" i="324"/>
  <c r="G24" i="268" s="1"/>
  <c r="H176" i="324"/>
  <c r="H24" i="268" s="1"/>
  <c r="F176" i="324"/>
  <c r="F24" i="268" s="1"/>
  <c r="E176" i="324"/>
  <c r="E24" i="268" s="1"/>
  <c r="D176" i="324"/>
  <c r="D24" i="268" s="1"/>
  <c r="C319" i="324"/>
  <c r="C37" i="268"/>
  <c r="C308" i="324"/>
  <c r="C36" i="268"/>
  <c r="C297" i="324"/>
  <c r="C35" i="268"/>
  <c r="C286" i="324"/>
  <c r="C34" i="268"/>
  <c r="C275" i="324"/>
  <c r="C33" i="268"/>
  <c r="C176" i="324"/>
  <c r="C24" i="268"/>
  <c r="C330" i="324"/>
  <c r="C38" i="268"/>
  <c r="C264" i="324"/>
  <c r="C32" i="268"/>
  <c r="C253" i="324"/>
  <c r="C31" i="268"/>
  <c r="C242" i="324"/>
  <c r="C30" i="268"/>
  <c r="C231" i="324"/>
  <c r="C29" i="268"/>
  <c r="C220" i="324"/>
  <c r="C28" i="268"/>
  <c r="C209" i="324"/>
  <c r="C27" i="268"/>
  <c r="C198" i="324"/>
  <c r="C26" i="268"/>
  <c r="C187" i="324"/>
  <c r="C25" i="268"/>
  <c r="K161" i="324"/>
  <c r="K20" i="268"/>
  <c r="K150" i="324"/>
  <c r="K19" i="268"/>
  <c r="K139" i="324"/>
  <c r="K18" i="268"/>
  <c r="K128" i="324"/>
  <c r="K17" i="268"/>
  <c r="K117" i="324"/>
  <c r="K16" i="268"/>
  <c r="K106" i="324"/>
  <c r="K15" i="268"/>
  <c r="K95" i="324"/>
  <c r="K14" i="268"/>
  <c r="K84" i="324"/>
  <c r="K13" i="268"/>
  <c r="K73" i="324"/>
  <c r="K12" i="268"/>
  <c r="K62" i="324"/>
  <c r="K11" i="268"/>
  <c r="K51" i="324"/>
  <c r="K10" i="268"/>
  <c r="K40" i="324"/>
  <c r="K9" i="268"/>
  <c r="K29" i="324"/>
  <c r="K8" i="268"/>
  <c r="K18" i="324"/>
  <c r="K7" i="268"/>
  <c r="K7" i="324"/>
  <c r="K6" i="268"/>
  <c r="H161" i="324"/>
  <c r="H20" i="268"/>
  <c r="G161" i="324"/>
  <c r="G20" i="268"/>
  <c r="F161" i="324"/>
  <c r="F20" i="268"/>
  <c r="E161" i="324"/>
  <c r="E20" i="268"/>
  <c r="D161" i="324"/>
  <c r="D20" i="268"/>
  <c r="H150" i="324"/>
  <c r="H19" i="268"/>
  <c r="G150" i="324"/>
  <c r="G19" i="268"/>
  <c r="F150" i="324"/>
  <c r="F19" i="268"/>
  <c r="E150" i="324"/>
  <c r="E19" i="268"/>
  <c r="D150" i="324"/>
  <c r="D19" i="268"/>
  <c r="H139" i="324"/>
  <c r="H18" i="268"/>
  <c r="G139" i="324"/>
  <c r="G18" i="268"/>
  <c r="F139" i="324"/>
  <c r="F18" i="268"/>
  <c r="E139" i="324"/>
  <c r="E18" i="268"/>
  <c r="D139" i="324"/>
  <c r="D18" i="268"/>
  <c r="H128" i="324"/>
  <c r="H17" i="268"/>
  <c r="G128" i="324"/>
  <c r="G17" i="268"/>
  <c r="F128" i="324"/>
  <c r="F17" i="268"/>
  <c r="E128" i="324"/>
  <c r="E17" i="268"/>
  <c r="D128" i="324"/>
  <c r="D17" i="268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G15" i="268" s="1"/>
  <c r="F106" i="324"/>
  <c r="F15" i="268" s="1"/>
  <c r="E106" i="324"/>
  <c r="E15" i="268" s="1"/>
  <c r="D106" i="324"/>
  <c r="D15" i="268" s="1"/>
  <c r="H95" i="324"/>
  <c r="H14" i="268" s="1"/>
  <c r="G95" i="324"/>
  <c r="G14" i="268" s="1"/>
  <c r="F95" i="324"/>
  <c r="F14" i="268" s="1"/>
  <c r="E95" i="324"/>
  <c r="E14" i="268" s="1"/>
  <c r="D95" i="324"/>
  <c r="D14" i="268" s="1"/>
  <c r="H84" i="324"/>
  <c r="H13" i="268" s="1"/>
  <c r="G84" i="324"/>
  <c r="G13" i="268" s="1"/>
  <c r="F84" i="324"/>
  <c r="F13" i="268" s="1"/>
  <c r="E84" i="324"/>
  <c r="E13" i="268" s="1"/>
  <c r="D84" i="324"/>
  <c r="D13" i="268" s="1"/>
  <c r="H73" i="324"/>
  <c r="H12" i="268" s="1"/>
  <c r="G73" i="324"/>
  <c r="G12" i="268" s="1"/>
  <c r="F73" i="324"/>
  <c r="F12" i="268" s="1"/>
  <c r="E73" i="324"/>
  <c r="E12" i="268" s="1"/>
  <c r="D73" i="324"/>
  <c r="D12" i="268" s="1"/>
  <c r="H62" i="324"/>
  <c r="H11" i="268" s="1"/>
  <c r="G62" i="324"/>
  <c r="G11" i="268" s="1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/>
  <c r="E51" i="324"/>
  <c r="E10" i="268"/>
  <c r="D51" i="324"/>
  <c r="D10" i="268" s="1"/>
  <c r="H40" i="324"/>
  <c r="H9" i="268" s="1"/>
  <c r="G40" i="324"/>
  <c r="G9" i="268" s="1"/>
  <c r="F40" i="324"/>
  <c r="F9" i="268"/>
  <c r="E40" i="324"/>
  <c r="E9" i="268"/>
  <c r="D40" i="324"/>
  <c r="D9" i="268" s="1"/>
  <c r="H29" i="324"/>
  <c r="H8" i="268" s="1"/>
  <c r="G29" i="324"/>
  <c r="G8" i="268" s="1"/>
  <c r="F29" i="324"/>
  <c r="F8" i="268" s="1"/>
  <c r="E29" i="324"/>
  <c r="E8" i="268" s="1"/>
  <c r="D29" i="324"/>
  <c r="D8" i="268" s="1"/>
  <c r="H18" i="324"/>
  <c r="H7" i="268" s="1"/>
  <c r="G18" i="324"/>
  <c r="G7" i="268" s="1"/>
  <c r="F18" i="324"/>
  <c r="F7" i="268" s="1"/>
  <c r="F21" i="268" s="1"/>
  <c r="E18" i="324"/>
  <c r="E7" i="268" s="1"/>
  <c r="D18" i="324"/>
  <c r="D7" i="268" s="1"/>
  <c r="H7" i="324"/>
  <c r="H6" i="268" s="1"/>
  <c r="G7" i="324"/>
  <c r="G6" i="268" s="1"/>
  <c r="F7" i="324"/>
  <c r="F6" i="268"/>
  <c r="E7" i="324"/>
  <c r="E6" i="268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C6" i="268" s="1"/>
  <c r="D70" i="268"/>
  <c r="D74" i="268" s="1"/>
  <c r="E70" i="268"/>
  <c r="E74" i="268"/>
  <c r="F70" i="268"/>
  <c r="F74" i="268" s="1"/>
  <c r="G70" i="268"/>
  <c r="H70" i="268"/>
  <c r="H74" i="268" s="1"/>
  <c r="K39" i="268"/>
  <c r="K74" i="268"/>
  <c r="C70" i="268"/>
  <c r="C74" i="268" s="1"/>
  <c r="K341" i="324"/>
  <c r="E341" i="324"/>
  <c r="A75" i="100"/>
  <c r="B99" i="100" s="1"/>
  <c r="C18" i="17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H11" i="242"/>
  <c r="H15" i="242"/>
  <c r="H19" i="242"/>
  <c r="H22" i="242"/>
  <c r="H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K37" i="272"/>
  <c r="K36" i="272"/>
  <c r="K35" i="272"/>
  <c r="K34" i="272"/>
  <c r="K33" i="272"/>
  <c r="H38" i="272"/>
  <c r="G38" i="272"/>
  <c r="F38" i="272"/>
  <c r="E38" i="272"/>
  <c r="D38" i="272"/>
  <c r="H37" i="272"/>
  <c r="G37" i="272"/>
  <c r="F37" i="272"/>
  <c r="E37" i="272"/>
  <c r="D37" i="272"/>
  <c r="H36" i="272"/>
  <c r="G36" i="272"/>
  <c r="F36" i="272"/>
  <c r="E36" i="272"/>
  <c r="D36" i="272"/>
  <c r="H35" i="272"/>
  <c r="G35" i="272"/>
  <c r="F35" i="272"/>
  <c r="E35" i="272"/>
  <c r="D35" i="272"/>
  <c r="H34" i="272"/>
  <c r="G34" i="272"/>
  <c r="F34" i="272"/>
  <c r="E34" i="272"/>
  <c r="D34" i="272"/>
  <c r="H33" i="272"/>
  <c r="G33" i="272"/>
  <c r="F33" i="272"/>
  <c r="E33" i="272"/>
  <c r="D33" i="272"/>
  <c r="C38" i="272"/>
  <c r="C37" i="272"/>
  <c r="C36" i="272"/>
  <c r="C35" i="272"/>
  <c r="C34" i="272"/>
  <c r="C33" i="272"/>
  <c r="K160" i="323"/>
  <c r="K20" i="272"/>
  <c r="K149" i="323"/>
  <c r="K19" i="272"/>
  <c r="K138" i="323"/>
  <c r="K18" i="272"/>
  <c r="K127" i="323"/>
  <c r="K17" i="272"/>
  <c r="K116" i="323"/>
  <c r="K16" i="272"/>
  <c r="K105" i="323"/>
  <c r="K15" i="272"/>
  <c r="K94" i="323"/>
  <c r="K14" i="272"/>
  <c r="G105" i="323"/>
  <c r="G15" i="272"/>
  <c r="H105" i="323"/>
  <c r="H15" i="272"/>
  <c r="G116" i="323"/>
  <c r="G16" i="272"/>
  <c r="H116" i="323"/>
  <c r="H16" i="272"/>
  <c r="G127" i="323"/>
  <c r="G17" i="272"/>
  <c r="H127" i="323"/>
  <c r="H17" i="272"/>
  <c r="G138" i="323"/>
  <c r="G18" i="272"/>
  <c r="H138" i="323"/>
  <c r="H18" i="272"/>
  <c r="G149" i="323"/>
  <c r="G19" i="272"/>
  <c r="H149" i="323"/>
  <c r="H19" i="272"/>
  <c r="G160" i="323"/>
  <c r="G20" i="272"/>
  <c r="H160" i="323"/>
  <c r="H20" i="272"/>
  <c r="F160" i="323"/>
  <c r="F20" i="272"/>
  <c r="E160" i="323"/>
  <c r="E20" i="272"/>
  <c r="D160" i="323"/>
  <c r="D20" i="272"/>
  <c r="F149" i="323"/>
  <c r="F19" i="272"/>
  <c r="E149" i="323"/>
  <c r="E19" i="272"/>
  <c r="D149" i="323"/>
  <c r="D19" i="272"/>
  <c r="F138" i="323"/>
  <c r="F18" i="272"/>
  <c r="E138" i="323"/>
  <c r="E18" i="272"/>
  <c r="D138" i="323"/>
  <c r="D18" i="272"/>
  <c r="F127" i="323"/>
  <c r="F17" i="272"/>
  <c r="E127" i="323"/>
  <c r="E17" i="272"/>
  <c r="D127" i="323"/>
  <c r="D17" i="272"/>
  <c r="F116" i="323"/>
  <c r="F16" i="272"/>
  <c r="E116" i="323"/>
  <c r="E16" i="272"/>
  <c r="D116" i="323"/>
  <c r="D16" i="272"/>
  <c r="F105" i="323"/>
  <c r="F15" i="272"/>
  <c r="E105" i="323"/>
  <c r="E15" i="272"/>
  <c r="D105" i="323"/>
  <c r="D15" i="272"/>
  <c r="C160" i="323"/>
  <c r="C20" i="272"/>
  <c r="C149" i="323"/>
  <c r="C19" i="272"/>
  <c r="C138" i="323"/>
  <c r="C18" i="272"/>
  <c r="C127" i="323"/>
  <c r="C17" i="272"/>
  <c r="C116" i="323"/>
  <c r="C16" i="272"/>
  <c r="X36" i="329"/>
  <c r="F77" i="100"/>
  <c r="B27" i="322"/>
  <c r="B73" i="100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/>
  <c r="G50" i="242" s="1"/>
  <c r="H78" i="326"/>
  <c r="H52" i="326" s="1"/>
  <c r="H50" i="326" s="1"/>
  <c r="G78" i="326"/>
  <c r="G52" i="326"/>
  <c r="H78" i="325"/>
  <c r="H52" i="325"/>
  <c r="G78" i="325"/>
  <c r="G52" i="325"/>
  <c r="K78" i="242"/>
  <c r="K52" i="242"/>
  <c r="K50" i="242" s="1"/>
  <c r="F78" i="242"/>
  <c r="F52" i="242" s="1"/>
  <c r="F50" i="242" s="1"/>
  <c r="E78" i="242"/>
  <c r="E52" i="242"/>
  <c r="E50" i="242" s="1"/>
  <c r="D78" i="242"/>
  <c r="D52" i="242" s="1"/>
  <c r="D50" i="242" s="1"/>
  <c r="C78" i="242"/>
  <c r="C52" i="242"/>
  <c r="C50" i="242" s="1"/>
  <c r="K78" i="326"/>
  <c r="K52" i="326" s="1"/>
  <c r="K50" i="326" s="1"/>
  <c r="F78" i="326"/>
  <c r="F52" i="326"/>
  <c r="F50" i="326" s="1"/>
  <c r="E78" i="326"/>
  <c r="E52" i="326" s="1"/>
  <c r="E50" i="326" s="1"/>
  <c r="D78" i="326"/>
  <c r="D52" i="326"/>
  <c r="D50" i="326" s="1"/>
  <c r="C78" i="326"/>
  <c r="C52" i="326" s="1"/>
  <c r="C50" i="326" s="1"/>
  <c r="K78" i="325"/>
  <c r="K52" i="325"/>
  <c r="F78" i="325"/>
  <c r="F52" i="325"/>
  <c r="E78" i="325"/>
  <c r="E52" i="325"/>
  <c r="D78" i="325"/>
  <c r="D52" i="325"/>
  <c r="C78" i="325"/>
  <c r="C52" i="325"/>
  <c r="C7" i="330"/>
  <c r="C7" i="241" s="1"/>
  <c r="C11" i="330"/>
  <c r="C9" i="241" s="1"/>
  <c r="C17" i="330"/>
  <c r="C11" i="241" s="1"/>
  <c r="C27" i="330"/>
  <c r="C13" i="241"/>
  <c r="C34" i="330"/>
  <c r="C15" i="241"/>
  <c r="C39" i="330"/>
  <c r="C17" i="241" s="1"/>
  <c r="C43" i="330"/>
  <c r="C18" i="241" s="1"/>
  <c r="C49" i="330"/>
  <c r="C19" i="241"/>
  <c r="C54" i="330"/>
  <c r="C57" i="330"/>
  <c r="C22" i="241" s="1"/>
  <c r="C60" i="330"/>
  <c r="C23" i="241" s="1"/>
  <c r="C64" i="330"/>
  <c r="C24" i="241" s="1"/>
  <c r="K7" i="330"/>
  <c r="K11" i="330"/>
  <c r="K9" i="241" s="1"/>
  <c r="K17" i="330"/>
  <c r="K27" i="330"/>
  <c r="K13" i="241" s="1"/>
  <c r="K34" i="330"/>
  <c r="K15" i="241" s="1"/>
  <c r="K39" i="330"/>
  <c r="K17" i="241" s="1"/>
  <c r="K43" i="330"/>
  <c r="K18" i="241" s="1"/>
  <c r="K49" i="330"/>
  <c r="K19" i="241" s="1"/>
  <c r="K54" i="330"/>
  <c r="K57" i="330"/>
  <c r="K22" i="241" s="1"/>
  <c r="K60" i="330"/>
  <c r="K23" i="241" s="1"/>
  <c r="K64" i="330"/>
  <c r="K24" i="241" s="1"/>
  <c r="K66" i="330"/>
  <c r="K25" i="241" s="1"/>
  <c r="K76" i="330"/>
  <c r="K30" i="241" s="1"/>
  <c r="K80" i="330"/>
  <c r="K86" i="330"/>
  <c r="K34" i="241" s="1"/>
  <c r="K96" i="330"/>
  <c r="K36" i="241" s="1"/>
  <c r="K103" i="330"/>
  <c r="K38" i="241" s="1"/>
  <c r="K108" i="330"/>
  <c r="K112" i="330"/>
  <c r="K41" i="241" s="1"/>
  <c r="K118" i="330"/>
  <c r="K42" i="241" s="1"/>
  <c r="K123" i="330"/>
  <c r="K44" i="241" s="1"/>
  <c r="K126" i="330"/>
  <c r="K45" i="241" s="1"/>
  <c r="K129" i="330"/>
  <c r="K46" i="241" s="1"/>
  <c r="K133" i="330"/>
  <c r="K47" i="241" s="1"/>
  <c r="K135" i="330"/>
  <c r="K48" i="241" s="1"/>
  <c r="H7" i="241"/>
  <c r="H11" i="330"/>
  <c r="H9" i="241" s="1"/>
  <c r="H17" i="330"/>
  <c r="H11" i="241" s="1"/>
  <c r="H27" i="330"/>
  <c r="H34" i="330"/>
  <c r="H15" i="241"/>
  <c r="H39" i="330"/>
  <c r="H17" i="241" s="1"/>
  <c r="H43" i="330"/>
  <c r="H18" i="241" s="1"/>
  <c r="H49" i="330"/>
  <c r="H54" i="330"/>
  <c r="H57" i="330"/>
  <c r="H22" i="241" s="1"/>
  <c r="H60" i="330"/>
  <c r="H23" i="241" s="1"/>
  <c r="H64" i="330"/>
  <c r="H24" i="241" s="1"/>
  <c r="H66" i="330"/>
  <c r="H76" i="330"/>
  <c r="H30" i="241" s="1"/>
  <c r="H80" i="330"/>
  <c r="H32" i="241" s="1"/>
  <c r="H86" i="330"/>
  <c r="H96" i="330"/>
  <c r="H36" i="241" s="1"/>
  <c r="H103" i="330"/>
  <c r="H38" i="241" s="1"/>
  <c r="H108" i="330"/>
  <c r="H40" i="241" s="1"/>
  <c r="H112" i="330"/>
  <c r="H41" i="241" s="1"/>
  <c r="H118" i="330"/>
  <c r="H42" i="241" s="1"/>
  <c r="H123" i="330"/>
  <c r="H44" i="241" s="1"/>
  <c r="H126" i="330"/>
  <c r="H45" i="241" s="1"/>
  <c r="H129" i="330"/>
  <c r="H46" i="241" s="1"/>
  <c r="H133" i="330"/>
  <c r="H47" i="241" s="1"/>
  <c r="H135" i="330"/>
  <c r="G7" i="241"/>
  <c r="G11" i="330"/>
  <c r="G9" i="241" s="1"/>
  <c r="G17" i="330"/>
  <c r="G16" i="330" s="1"/>
  <c r="G27" i="330"/>
  <c r="G13" i="24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24" i="241" s="1"/>
  <c r="G66" i="330"/>
  <c r="G25" i="241" s="1"/>
  <c r="G76" i="330"/>
  <c r="G30" i="241" s="1"/>
  <c r="G80" i="330"/>
  <c r="G86" i="330"/>
  <c r="G96" i="330"/>
  <c r="G36" i="241" s="1"/>
  <c r="G103" i="330"/>
  <c r="G38" i="241" s="1"/>
  <c r="G108" i="330"/>
  <c r="G40" i="241" s="1"/>
  <c r="G112" i="330"/>
  <c r="G41" i="241" s="1"/>
  <c r="G118" i="330"/>
  <c r="G42" i="241" s="1"/>
  <c r="G123" i="330"/>
  <c r="G126" i="330"/>
  <c r="G129" i="330"/>
  <c r="G46" i="241" s="1"/>
  <c r="G133" i="330"/>
  <c r="G135" i="330"/>
  <c r="G48" i="241" s="1"/>
  <c r="F7" i="241"/>
  <c r="F11" i="330"/>
  <c r="F9" i="241" s="1"/>
  <c r="F17" i="330"/>
  <c r="F11" i="241" s="1"/>
  <c r="F27" i="330"/>
  <c r="F13" i="241" s="1"/>
  <c r="F34" i="330"/>
  <c r="F15" i="241" s="1"/>
  <c r="F39" i="330"/>
  <c r="F43" i="330"/>
  <c r="F18" i="241" s="1"/>
  <c r="F49" i="330"/>
  <c r="F19" i="241" s="1"/>
  <c r="F54" i="330"/>
  <c r="F21" i="241" s="1"/>
  <c r="F57" i="330"/>
  <c r="F22" i="241" s="1"/>
  <c r="F60" i="330"/>
  <c r="F23" i="241" s="1"/>
  <c r="F64" i="330"/>
  <c r="F24" i="241" s="1"/>
  <c r="F66" i="330"/>
  <c r="F25" i="241" s="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112" i="330"/>
  <c r="F41" i="241" s="1"/>
  <c r="F118" i="330"/>
  <c r="F42" i="241" s="1"/>
  <c r="F123" i="330"/>
  <c r="F126" i="330"/>
  <c r="F45" i="241" s="1"/>
  <c r="F129" i="330"/>
  <c r="F46" i="241" s="1"/>
  <c r="F133" i="330"/>
  <c r="F47" i="241" s="1"/>
  <c r="F135" i="330"/>
  <c r="F48" i="241" s="1"/>
  <c r="E7" i="330"/>
  <c r="E11" i="330"/>
  <c r="E9" i="241" s="1"/>
  <c r="E17" i="330"/>
  <c r="E27" i="330"/>
  <c r="E13" i="241" s="1"/>
  <c r="E34" i="330"/>
  <c r="E15" i="241" s="1"/>
  <c r="E39" i="330"/>
  <c r="E17" i="241" s="1"/>
  <c r="E43" i="330"/>
  <c r="E49" i="330"/>
  <c r="E19" i="241" s="1"/>
  <c r="E54" i="330"/>
  <c r="E57" i="330"/>
  <c r="E22" i="241" s="1"/>
  <c r="E60" i="330"/>
  <c r="E23" i="241" s="1"/>
  <c r="E64" i="330"/>
  <c r="E24" i="241" s="1"/>
  <c r="E66" i="330"/>
  <c r="E25" i="241" s="1"/>
  <c r="E76" i="330"/>
  <c r="E30" i="241" s="1"/>
  <c r="E80" i="330"/>
  <c r="E86" i="330"/>
  <c r="E34" i="241" s="1"/>
  <c r="E96" i="330"/>
  <c r="E36" i="241" s="1"/>
  <c r="E103" i="330"/>
  <c r="E38" i="241" s="1"/>
  <c r="E108" i="330"/>
  <c r="E112" i="330"/>
  <c r="E41" i="241" s="1"/>
  <c r="E118" i="330"/>
  <c r="E42" i="241" s="1"/>
  <c r="E123" i="330"/>
  <c r="E126" i="330"/>
  <c r="E45" i="241" s="1"/>
  <c r="E129" i="330"/>
  <c r="E46" i="241" s="1"/>
  <c r="E133" i="330"/>
  <c r="E47" i="241" s="1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43" i="330"/>
  <c r="D18" i="241" s="1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80" i="330"/>
  <c r="D32" i="241" s="1"/>
  <c r="D86" i="330"/>
  <c r="D96" i="330"/>
  <c r="D36" i="241" s="1"/>
  <c r="D103" i="330"/>
  <c r="D38" i="241" s="1"/>
  <c r="D108" i="330"/>
  <c r="D40" i="241" s="1"/>
  <c r="D112" i="330"/>
  <c r="D41" i="241" s="1"/>
  <c r="D118" i="330"/>
  <c r="D42" i="241" s="1"/>
  <c r="D123" i="330"/>
  <c r="D126" i="330"/>
  <c r="D45" i="241" s="1"/>
  <c r="D129" i="330"/>
  <c r="D46" i="241" s="1"/>
  <c r="D133" i="330"/>
  <c r="D47" i="241" s="1"/>
  <c r="D135" i="330"/>
  <c r="D48" i="241" s="1"/>
  <c r="C135" i="330"/>
  <c r="C48" i="241" s="1"/>
  <c r="C133" i="330"/>
  <c r="C47" i="241" s="1"/>
  <c r="C129" i="330"/>
  <c r="C46" i="241" s="1"/>
  <c r="C126" i="330"/>
  <c r="C45" i="241" s="1"/>
  <c r="C123" i="330"/>
  <c r="C118" i="330"/>
  <c r="C42" i="241" s="1"/>
  <c r="C112" i="330"/>
  <c r="C108" i="330"/>
  <c r="C40" i="241" s="1"/>
  <c r="C103" i="330"/>
  <c r="C38" i="241" s="1"/>
  <c r="C96" i="330"/>
  <c r="C36" i="241" s="1"/>
  <c r="C86" i="330"/>
  <c r="C34" i="241" s="1"/>
  <c r="C80" i="330"/>
  <c r="C32" i="241" s="1"/>
  <c r="C76" i="330"/>
  <c r="I140" i="330"/>
  <c r="J140" i="330" s="1"/>
  <c r="I139" i="330"/>
  <c r="J139" i="330" s="1"/>
  <c r="I138" i="330"/>
  <c r="J138" i="330" s="1"/>
  <c r="I137" i="330"/>
  <c r="J137" i="330" s="1"/>
  <c r="I136" i="330"/>
  <c r="J136" i="330" s="1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J127" i="330" s="1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J97" i="330" s="1"/>
  <c r="I95" i="330"/>
  <c r="J95" i="330" s="1"/>
  <c r="I94" i="330"/>
  <c r="J94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 s="1"/>
  <c r="I65" i="330"/>
  <c r="J65" i="330" s="1"/>
  <c r="I63" i="330"/>
  <c r="J63" i="330" s="1"/>
  <c r="I62" i="330"/>
  <c r="J62" i="330" s="1"/>
  <c r="I61" i="330"/>
  <c r="J61" i="330" s="1"/>
  <c r="I59" i="330"/>
  <c r="J59" i="330" s="1"/>
  <c r="I58" i="330"/>
  <c r="J58" i="330" s="1"/>
  <c r="I56" i="330"/>
  <c r="J56" i="330" s="1"/>
  <c r="I55" i="330"/>
  <c r="J55" i="330" s="1"/>
  <c r="I52" i="330"/>
  <c r="J52" i="330" s="1"/>
  <c r="I51" i="330"/>
  <c r="J51" i="330" s="1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 s="1"/>
  <c r="I42" i="330"/>
  <c r="J42" i="330" s="1"/>
  <c r="I41" i="330"/>
  <c r="J41" i="330" s="1"/>
  <c r="I40" i="330"/>
  <c r="J40" i="330" s="1"/>
  <c r="I37" i="330"/>
  <c r="J37" i="330" s="1"/>
  <c r="I36" i="330"/>
  <c r="J36" i="330" s="1"/>
  <c r="I35" i="330"/>
  <c r="J35" i="330" s="1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I26" i="330"/>
  <c r="J26" i="330" s="1"/>
  <c r="I25" i="330"/>
  <c r="J25" i="330" s="1"/>
  <c r="I23" i="330"/>
  <c r="J23" i="330" s="1"/>
  <c r="I22" i="330"/>
  <c r="J22" i="330" s="1"/>
  <c r="I21" i="330"/>
  <c r="J21" i="330" s="1"/>
  <c r="I20" i="330"/>
  <c r="J20" i="330" s="1"/>
  <c r="I19" i="330"/>
  <c r="J19" i="330" s="1"/>
  <c r="I18" i="330"/>
  <c r="J18" i="330" s="1"/>
  <c r="I15" i="330"/>
  <c r="J15" i="330" s="1"/>
  <c r="I14" i="330"/>
  <c r="J14" i="330" s="1"/>
  <c r="I13" i="330"/>
  <c r="J13" i="330" s="1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K85" i="330"/>
  <c r="E85" i="330"/>
  <c r="D107" i="330"/>
  <c r="C85" i="330"/>
  <c r="K38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B2" i="100"/>
  <c r="C3" i="334" s="1"/>
  <c r="H2" i="322"/>
  <c r="I2" i="322"/>
  <c r="J2" i="322"/>
  <c r="K2" i="322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B3" i="100" s="1"/>
  <c r="E2" i="174" s="1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 s="1"/>
  <c r="H37" i="177"/>
  <c r="G45" i="267" s="1"/>
  <c r="H45" i="267" s="1"/>
  <c r="I45" i="267" s="1"/>
  <c r="G37" i="177"/>
  <c r="F37" i="177"/>
  <c r="E37" i="177"/>
  <c r="D45" i="267" s="1"/>
  <c r="D37" i="177"/>
  <c r="C37" i="177"/>
  <c r="B45" i="267"/>
  <c r="K28" i="177"/>
  <c r="H28" i="177"/>
  <c r="G44" i="267" s="1"/>
  <c r="G28" i="177"/>
  <c r="F44" i="267" s="1"/>
  <c r="F28" i="177"/>
  <c r="F39" i="177" s="1"/>
  <c r="E28" i="177"/>
  <c r="D44" i="267"/>
  <c r="C28" i="177"/>
  <c r="C39" i="177"/>
  <c r="C41" i="177" s="1"/>
  <c r="B46" i="267" s="1"/>
  <c r="K18" i="177"/>
  <c r="G18" i="177"/>
  <c r="G39" i="177" s="1"/>
  <c r="G41" i="177" s="1"/>
  <c r="F46" i="267" s="1"/>
  <c r="F18" i="177"/>
  <c r="E43" i="267" s="1"/>
  <c r="E18" i="177"/>
  <c r="E77" i="100"/>
  <c r="E46" i="267"/>
  <c r="G48" i="178"/>
  <c r="J40" i="267"/>
  <c r="G40" i="178"/>
  <c r="J39" i="267"/>
  <c r="G35" i="178"/>
  <c r="J38" i="267" s="1"/>
  <c r="G25" i="178"/>
  <c r="J37" i="267" s="1"/>
  <c r="G13" i="178"/>
  <c r="J36" i="267"/>
  <c r="E48" i="178"/>
  <c r="D40" i="267"/>
  <c r="D48" i="178"/>
  <c r="C40" i="267" s="1"/>
  <c r="E40" i="178"/>
  <c r="D39" i="267" s="1"/>
  <c r="D40" i="178"/>
  <c r="C39" i="267" s="1"/>
  <c r="E35" i="178"/>
  <c r="D38" i="267"/>
  <c r="D35" i="178"/>
  <c r="C38" i="267" s="1"/>
  <c r="E25" i="178"/>
  <c r="D37" i="267" s="1"/>
  <c r="D25" i="178"/>
  <c r="C37" i="267" s="1"/>
  <c r="E13" i="178"/>
  <c r="D36" i="267"/>
  <c r="D13" i="178"/>
  <c r="C36" i="267" s="1"/>
  <c r="C48" i="178"/>
  <c r="B40" i="267" s="1"/>
  <c r="C40" i="178"/>
  <c r="B39" i="267" s="1"/>
  <c r="C35" i="178"/>
  <c r="B38" i="267" s="1"/>
  <c r="C25" i="178"/>
  <c r="B37" i="267" s="1"/>
  <c r="C13" i="178"/>
  <c r="B36" i="267" s="1"/>
  <c r="J32" i="267"/>
  <c r="J31" i="267"/>
  <c r="J30" i="267"/>
  <c r="G32" i="267"/>
  <c r="E32" i="267"/>
  <c r="D32" i="267"/>
  <c r="C32" i="267"/>
  <c r="G31" i="267"/>
  <c r="F31" i="267"/>
  <c r="H31" i="267" s="1"/>
  <c r="I31" i="267" s="1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18" i="267" s="1"/>
  <c r="J6" i="267"/>
  <c r="J7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18" i="267" s="1"/>
  <c r="G37" i="182"/>
  <c r="F18" i="267" s="1"/>
  <c r="F19" i="267" s="1"/>
  <c r="F37" i="182"/>
  <c r="E37" i="182"/>
  <c r="D18" i="267" s="1"/>
  <c r="D37" i="182"/>
  <c r="C18" i="267" s="1"/>
  <c r="C19" i="267" s="1"/>
  <c r="C37" i="182"/>
  <c r="B18" i="267" s="1"/>
  <c r="B19" i="267" s="1"/>
  <c r="F6" i="267"/>
  <c r="F7" i="267"/>
  <c r="F9" i="267"/>
  <c r="G23" i="182"/>
  <c r="G55" i="174" s="1"/>
  <c r="G27" i="174" s="1"/>
  <c r="G6" i="267"/>
  <c r="H6" i="267" s="1"/>
  <c r="I6" i="267" s="1"/>
  <c r="G7" i="267"/>
  <c r="G9" i="267"/>
  <c r="H9" i="267" s="1"/>
  <c r="I9" i="267" s="1"/>
  <c r="H23" i="182"/>
  <c r="H54" i="182" s="1"/>
  <c r="H16" i="267"/>
  <c r="I16" i="267" s="1"/>
  <c r="H15" i="267"/>
  <c r="I15" i="267" s="1"/>
  <c r="H14" i="267"/>
  <c r="I14" i="267" s="1"/>
  <c r="H13" i="267"/>
  <c r="I13" i="267" s="1"/>
  <c r="H12" i="267"/>
  <c r="I12" i="267" s="1"/>
  <c r="I6" i="182"/>
  <c r="I7" i="182"/>
  <c r="J7" i="182" s="1"/>
  <c r="I8" i="182"/>
  <c r="I9" i="182"/>
  <c r="J9" i="182" s="1"/>
  <c r="I10" i="182"/>
  <c r="I11" i="182"/>
  <c r="J11" i="182" s="1"/>
  <c r="I12" i="182"/>
  <c r="I14" i="182"/>
  <c r="J14" i="182" s="1"/>
  <c r="I15" i="182"/>
  <c r="I20" i="182"/>
  <c r="J20" i="182" s="1"/>
  <c r="E6" i="267"/>
  <c r="E7" i="267"/>
  <c r="E9" i="267"/>
  <c r="F23" i="182"/>
  <c r="F54" i="182" s="1"/>
  <c r="D6" i="267"/>
  <c r="D7" i="267"/>
  <c r="D9" i="267"/>
  <c r="E23" i="182"/>
  <c r="E39" i="182" s="1"/>
  <c r="E43" i="182" s="1"/>
  <c r="E45" i="182" s="1"/>
  <c r="E47" i="182" s="1"/>
  <c r="E49" i="182" s="1"/>
  <c r="C6" i="267"/>
  <c r="C7" i="267"/>
  <c r="C9" i="267"/>
  <c r="D23" i="182"/>
  <c r="D54" i="182" s="1"/>
  <c r="B6" i="267"/>
  <c r="B7" i="267"/>
  <c r="C23" i="182"/>
  <c r="D55" i="174" s="1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B104" i="172" s="1"/>
  <c r="K7" i="173"/>
  <c r="K8" i="173"/>
  <c r="D104" i="172" s="1"/>
  <c r="K9" i="173"/>
  <c r="K10" i="173"/>
  <c r="F104" i="172" s="1"/>
  <c r="K11" i="173"/>
  <c r="K12" i="173"/>
  <c r="H104" i="172" s="1"/>
  <c r="K13" i="173"/>
  <c r="K14" i="173"/>
  <c r="J104" i="172" s="1"/>
  <c r="B44" i="267"/>
  <c r="C44" i="267"/>
  <c r="E44" i="267"/>
  <c r="J44" i="267"/>
  <c r="F45" i="267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/>
  <c r="B43" i="267"/>
  <c r="D39" i="177"/>
  <c r="D41" i="177" s="1"/>
  <c r="C46" i="267" s="1"/>
  <c r="D43" i="267"/>
  <c r="C43" i="267"/>
  <c r="F43" i="267"/>
  <c r="G43" i="267"/>
  <c r="K39" i="177"/>
  <c r="K40" i="177"/>
  <c r="J43" i="267"/>
  <c r="G29" i="267"/>
  <c r="F29" i="267"/>
  <c r="E29" i="267"/>
  <c r="E33" i="267" s="1"/>
  <c r="B29" i="267"/>
  <c r="B33" i="267"/>
  <c r="C29" i="267"/>
  <c r="C33" i="267" s="1"/>
  <c r="D29" i="267"/>
  <c r="D33" i="267" s="1"/>
  <c r="J29" i="267"/>
  <c r="J33" i="267" s="1"/>
  <c r="C6" i="323"/>
  <c r="C17" i="323"/>
  <c r="C7" i="272" s="1"/>
  <c r="C28" i="323"/>
  <c r="C39" i="323"/>
  <c r="C9" i="272" s="1"/>
  <c r="C50" i="323"/>
  <c r="C61" i="323"/>
  <c r="C72" i="323"/>
  <c r="C83" i="323"/>
  <c r="C13" i="272"/>
  <c r="C94" i="323"/>
  <c r="C105" i="323"/>
  <c r="C15" i="272" s="1"/>
  <c r="H6" i="323"/>
  <c r="H6" i="272" s="1"/>
  <c r="H17" i="323"/>
  <c r="H28" i="323"/>
  <c r="H8" i="272" s="1"/>
  <c r="H39" i="323"/>
  <c r="H9" i="272" s="1"/>
  <c r="H50" i="323"/>
  <c r="H61" i="323"/>
  <c r="H11" i="272"/>
  <c r="H72" i="323"/>
  <c r="H83" i="323"/>
  <c r="H13" i="272"/>
  <c r="H94" i="323"/>
  <c r="G6" i="323"/>
  <c r="G17" i="323"/>
  <c r="G7" i="272" s="1"/>
  <c r="G39" i="323"/>
  <c r="G9" i="272" s="1"/>
  <c r="G50" i="323"/>
  <c r="G61" i="323"/>
  <c r="G72" i="323"/>
  <c r="I72" i="323"/>
  <c r="J72" i="323" s="1"/>
  <c r="G83" i="323"/>
  <c r="G13" i="272" s="1"/>
  <c r="I13" i="272" s="1"/>
  <c r="J13" i="272" s="1"/>
  <c r="G94" i="323"/>
  <c r="I94" i="323" s="1"/>
  <c r="J94" i="323" s="1"/>
  <c r="D6" i="323"/>
  <c r="D17" i="323"/>
  <c r="D28" i="323"/>
  <c r="D39" i="323"/>
  <c r="D9" i="272" s="1"/>
  <c r="D50" i="323"/>
  <c r="D61" i="323"/>
  <c r="D11" i="272" s="1"/>
  <c r="D72" i="323"/>
  <c r="D83" i="323"/>
  <c r="D13" i="272"/>
  <c r="D94" i="323"/>
  <c r="E6" i="323"/>
  <c r="E17" i="323"/>
  <c r="E28" i="323"/>
  <c r="E8" i="272" s="1"/>
  <c r="E39" i="323"/>
  <c r="E50" i="323"/>
  <c r="E10" i="272"/>
  <c r="E61" i="323"/>
  <c r="E11" i="272"/>
  <c r="E72" i="323"/>
  <c r="E12" i="272"/>
  <c r="E83" i="323"/>
  <c r="E94" i="323"/>
  <c r="E14" i="272" s="1"/>
  <c r="F6" i="323"/>
  <c r="F17" i="323"/>
  <c r="F28" i="323"/>
  <c r="F39" i="323"/>
  <c r="F9" i="272" s="1"/>
  <c r="F50" i="323"/>
  <c r="F61" i="323"/>
  <c r="F11" i="272" s="1"/>
  <c r="F72" i="323"/>
  <c r="F12" i="272" s="1"/>
  <c r="F83" i="323"/>
  <c r="F13" i="272" s="1"/>
  <c r="F94" i="323"/>
  <c r="K6" i="323"/>
  <c r="K6" i="272" s="1"/>
  <c r="K17" i="323"/>
  <c r="K7" i="272" s="1"/>
  <c r="K28" i="323"/>
  <c r="K8" i="272" s="1"/>
  <c r="K39" i="323"/>
  <c r="K50" i="323"/>
  <c r="K10" i="272" s="1"/>
  <c r="K61" i="323"/>
  <c r="K11" i="272" s="1"/>
  <c r="K72" i="323"/>
  <c r="K12" i="272" s="1"/>
  <c r="K83" i="323"/>
  <c r="I37" i="241"/>
  <c r="J37" i="241" s="1"/>
  <c r="I31" i="241"/>
  <c r="J31" i="241" s="1"/>
  <c r="I14" i="241"/>
  <c r="J14" i="241" s="1"/>
  <c r="A43" i="241"/>
  <c r="A44" i="241"/>
  <c r="A45" i="241"/>
  <c r="A46" i="241"/>
  <c r="A47" i="241"/>
  <c r="A48" i="241"/>
  <c r="A30" i="241"/>
  <c r="A31" i="241"/>
  <c r="A32" i="241"/>
  <c r="A33" i="241"/>
  <c r="A34" i="241"/>
  <c r="A35" i="241"/>
  <c r="A36" i="241"/>
  <c r="A37" i="241"/>
  <c r="A38" i="241"/>
  <c r="A39" i="241"/>
  <c r="A40" i="241"/>
  <c r="A41" i="241"/>
  <c r="A42" i="241"/>
  <c r="E79" i="100"/>
  <c r="A29" i="241"/>
  <c r="I12" i="241"/>
  <c r="J12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8" i="323"/>
  <c r="J328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7" i="323"/>
  <c r="J317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6" i="323"/>
  <c r="J306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5" i="323"/>
  <c r="J295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4" i="323"/>
  <c r="J284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3" i="323"/>
  <c r="J273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2" i="323"/>
  <c r="J262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1" i="323"/>
  <c r="J251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40" i="323"/>
  <c r="J240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9" i="323"/>
  <c r="J229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8" i="323"/>
  <c r="J218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8" i="323"/>
  <c r="J208" i="323" s="1"/>
  <c r="I206" i="323"/>
  <c r="J206" i="323" s="1"/>
  <c r="I205" i="323"/>
  <c r="J205" i="323" s="1"/>
  <c r="I204" i="323"/>
  <c r="J204" i="323" s="1"/>
  <c r="I203" i="323"/>
  <c r="J203" i="323" s="1"/>
  <c r="I202" i="323"/>
  <c r="J202" i="323" s="1"/>
  <c r="I201" i="323"/>
  <c r="J201" i="323" s="1"/>
  <c r="I200" i="323"/>
  <c r="J200" i="323" s="1"/>
  <c r="I199" i="323"/>
  <c r="J199" i="323" s="1"/>
  <c r="I198" i="323"/>
  <c r="J198" i="323" s="1"/>
  <c r="I197" i="323"/>
  <c r="J197" i="323" s="1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 s="1"/>
  <c r="I187" i="323"/>
  <c r="J187" i="323" s="1"/>
  <c r="I186" i="323"/>
  <c r="J186" i="323" s="1"/>
  <c r="I184" i="323"/>
  <c r="J184" i="323" s="1"/>
  <c r="I183" i="323"/>
  <c r="J183" i="323" s="1"/>
  <c r="I182" i="323"/>
  <c r="J182" i="323" s="1"/>
  <c r="I181" i="323"/>
  <c r="J181" i="323" s="1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 s="1"/>
  <c r="I172" i="323"/>
  <c r="J172" i="323" s="1"/>
  <c r="I170" i="323"/>
  <c r="J170" i="323" s="1"/>
  <c r="I169" i="323"/>
  <c r="J169" i="323" s="1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60" i="323"/>
  <c r="J160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9" i="323"/>
  <c r="J149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 s="1"/>
  <c r="I140" i="323"/>
  <c r="J140" i="323" s="1"/>
  <c r="I139" i="323"/>
  <c r="J139" i="323" s="1"/>
  <c r="I138" i="323"/>
  <c r="J138" i="323" s="1"/>
  <c r="I137" i="323"/>
  <c r="J137" i="323" s="1"/>
  <c r="I136" i="323"/>
  <c r="J136" i="323" s="1"/>
  <c r="I135" i="323"/>
  <c r="J135" i="323" s="1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7" i="323"/>
  <c r="J127" i="323" s="1"/>
  <c r="I126" i="323"/>
  <c r="J126" i="323" s="1"/>
  <c r="I125" i="323"/>
  <c r="J125" i="323" s="1"/>
  <c r="I124" i="323"/>
  <c r="J124" i="323" s="1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6" i="323"/>
  <c r="J116" i="323" s="1"/>
  <c r="I115" i="323"/>
  <c r="J115" i="323" s="1"/>
  <c r="I114" i="323"/>
  <c r="J114" i="323" s="1"/>
  <c r="I113" i="323"/>
  <c r="J113" i="323" s="1"/>
  <c r="I112" i="323"/>
  <c r="J112" i="323" s="1"/>
  <c r="I111" i="323"/>
  <c r="J111" i="323" s="1"/>
  <c r="I110" i="323"/>
  <c r="J110" i="323" s="1"/>
  <c r="I109" i="323"/>
  <c r="J109" i="323" s="1"/>
  <c r="I108" i="323"/>
  <c r="J108" i="323" s="1"/>
  <c r="I107" i="323"/>
  <c r="J107" i="323" s="1"/>
  <c r="I106" i="323"/>
  <c r="J106" i="323" s="1"/>
  <c r="I105" i="323"/>
  <c r="J105" i="323" s="1"/>
  <c r="I104" i="323"/>
  <c r="J104" i="323" s="1"/>
  <c r="I103" i="323"/>
  <c r="J103" i="323" s="1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 s="1"/>
  <c r="I87" i="323"/>
  <c r="J87" i="323" s="1"/>
  <c r="I86" i="323"/>
  <c r="J86" i="323" s="1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 s="1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 s="1"/>
  <c r="I71" i="323"/>
  <c r="J71" i="323" s="1"/>
  <c r="I70" i="323"/>
  <c r="J70" i="323" s="1"/>
  <c r="I69" i="323"/>
  <c r="J69" i="323" s="1"/>
  <c r="I68" i="323"/>
  <c r="J68" i="323" s="1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 s="1"/>
  <c r="I60" i="323"/>
  <c r="J60" i="323" s="1"/>
  <c r="I59" i="323"/>
  <c r="J59" i="323" s="1"/>
  <c r="I58" i="323"/>
  <c r="J58" i="323" s="1"/>
  <c r="I57" i="323"/>
  <c r="J57" i="323" s="1"/>
  <c r="I56" i="323"/>
  <c r="J56" i="323" s="1"/>
  <c r="I55" i="323"/>
  <c r="J55" i="323" s="1"/>
  <c r="I54" i="323"/>
  <c r="J54" i="323" s="1"/>
  <c r="I53" i="323"/>
  <c r="J53" i="323" s="1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 s="1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 s="1"/>
  <c r="I34" i="323"/>
  <c r="J34" i="323" s="1"/>
  <c r="I33" i="323"/>
  <c r="J33" i="323" s="1"/>
  <c r="I32" i="323"/>
  <c r="J32" i="323" s="1"/>
  <c r="I31" i="323"/>
  <c r="J31" i="323" s="1"/>
  <c r="I30" i="323"/>
  <c r="J30" i="323" s="1"/>
  <c r="I29" i="323"/>
  <c r="J29" i="323" s="1"/>
  <c r="I27" i="323"/>
  <c r="J27" i="323" s="1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 s="1"/>
  <c r="I15" i="323"/>
  <c r="J15" i="323" s="1"/>
  <c r="I14" i="323"/>
  <c r="J14" i="323" s="1"/>
  <c r="I13" i="323"/>
  <c r="J13" i="323" s="1"/>
  <c r="I12" i="323"/>
  <c r="J12" i="323" s="1"/>
  <c r="I11" i="323"/>
  <c r="J11" i="323" s="1"/>
  <c r="I10" i="323"/>
  <c r="J10" i="323" s="1"/>
  <c r="I9" i="323"/>
  <c r="J9" i="323" s="1"/>
  <c r="I8" i="323"/>
  <c r="J8" i="323" s="1"/>
  <c r="I7" i="323"/>
  <c r="J7" i="323" s="1"/>
  <c r="K3" i="323"/>
  <c r="J3" i="323"/>
  <c r="I3" i="323"/>
  <c r="H3" i="323"/>
  <c r="G3" i="323"/>
  <c r="F3" i="323"/>
  <c r="E3" i="323"/>
  <c r="D3" i="323"/>
  <c r="C3" i="323"/>
  <c r="K171" i="323"/>
  <c r="A342" i="323"/>
  <c r="W170" i="323"/>
  <c r="W338" i="323"/>
  <c r="W340" i="323" s="1"/>
  <c r="V170" i="323"/>
  <c r="V338" i="323"/>
  <c r="V340" i="323"/>
  <c r="U170" i="323"/>
  <c r="U338" i="323"/>
  <c r="U340" i="323" s="1"/>
  <c r="T170" i="323"/>
  <c r="T338" i="323"/>
  <c r="S170" i="323"/>
  <c r="S338" i="323"/>
  <c r="R170" i="323"/>
  <c r="R340" i="323" s="1"/>
  <c r="R338" i="323"/>
  <c r="Q170" i="323"/>
  <c r="Q338" i="323"/>
  <c r="P170" i="323"/>
  <c r="P340" i="323"/>
  <c r="P338" i="323"/>
  <c r="O170" i="323"/>
  <c r="O338" i="323"/>
  <c r="O340" i="323"/>
  <c r="N170" i="323"/>
  <c r="N338" i="323"/>
  <c r="N340" i="323" s="1"/>
  <c r="M170" i="323"/>
  <c r="M338" i="323"/>
  <c r="M340" i="323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 s="1"/>
  <c r="K9" i="272"/>
  <c r="K13" i="272"/>
  <c r="G8" i="272"/>
  <c r="G10" i="272"/>
  <c r="G11" i="272"/>
  <c r="I11" i="272"/>
  <c r="J11" i="272" s="1"/>
  <c r="G12" i="272"/>
  <c r="H12" i="272"/>
  <c r="I12" i="272" s="1"/>
  <c r="J12" i="272" s="1"/>
  <c r="G14" i="272"/>
  <c r="H14" i="272"/>
  <c r="F6" i="272"/>
  <c r="F8" i="272"/>
  <c r="F10" i="272"/>
  <c r="F14" i="272"/>
  <c r="E7" i="272"/>
  <c r="E9" i="272"/>
  <c r="E13" i="272"/>
  <c r="D6" i="272"/>
  <c r="D8" i="272"/>
  <c r="D10" i="272"/>
  <c r="D12" i="272"/>
  <c r="D14" i="272"/>
  <c r="G25" i="272"/>
  <c r="G26" i="272"/>
  <c r="G27" i="272"/>
  <c r="G28" i="272"/>
  <c r="G29" i="272"/>
  <c r="H29" i="272"/>
  <c r="I29" i="272"/>
  <c r="J29" i="272" s="1"/>
  <c r="G30" i="272"/>
  <c r="H30" i="272"/>
  <c r="I30" i="272"/>
  <c r="J30" i="272" s="1"/>
  <c r="G31" i="272"/>
  <c r="H31" i="272"/>
  <c r="I31" i="272"/>
  <c r="J31" i="272" s="1"/>
  <c r="G32" i="272"/>
  <c r="H32" i="272"/>
  <c r="I33" i="272"/>
  <c r="I34" i="272"/>
  <c r="J34" i="272"/>
  <c r="I35" i="272"/>
  <c r="J35" i="272"/>
  <c r="I36" i="272"/>
  <c r="J36" i="272"/>
  <c r="I37" i="272"/>
  <c r="I38" i="272"/>
  <c r="J38" i="272" s="1"/>
  <c r="J33" i="272"/>
  <c r="J37" i="272"/>
  <c r="K24" i="272"/>
  <c r="K25" i="272"/>
  <c r="K26" i="272"/>
  <c r="K27" i="272"/>
  <c r="K28" i="272"/>
  <c r="K29" i="272"/>
  <c r="K30" i="272"/>
  <c r="K31" i="272"/>
  <c r="K32" i="272"/>
  <c r="F24" i="272"/>
  <c r="F25" i="272"/>
  <c r="F26" i="272"/>
  <c r="F27" i="272"/>
  <c r="F28" i="272"/>
  <c r="F29" i="272"/>
  <c r="F30" i="272"/>
  <c r="F31" i="272"/>
  <c r="F32" i="272"/>
  <c r="E24" i="272"/>
  <c r="E25" i="272"/>
  <c r="E26" i="272"/>
  <c r="E27" i="272"/>
  <c r="E28" i="272"/>
  <c r="E29" i="272"/>
  <c r="E30" i="272"/>
  <c r="E31" i="272"/>
  <c r="E32" i="272"/>
  <c r="D24" i="272"/>
  <c r="D25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C6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 s="1"/>
  <c r="K45" i="182" s="1"/>
  <c r="K47" i="182" s="1"/>
  <c r="K49" i="182" s="1"/>
  <c r="D39" i="182"/>
  <c r="D43" i="182" s="1"/>
  <c r="D45" i="182" s="1"/>
  <c r="D47" i="182" s="1"/>
  <c r="D49" i="182" s="1"/>
  <c r="E80" i="100"/>
  <c r="B80" i="100"/>
  <c r="K54" i="182"/>
  <c r="E54" i="182"/>
  <c r="C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J15" i="182"/>
  <c r="I13" i="182"/>
  <c r="J13" i="182" s="1"/>
  <c r="J12" i="182"/>
  <c r="J10" i="182"/>
  <c r="J8" i="182"/>
  <c r="J6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W342" i="324" s="1"/>
  <c r="V171" i="324"/>
  <c r="V340" i="324"/>
  <c r="V342" i="324"/>
  <c r="U171" i="324"/>
  <c r="U340" i="324"/>
  <c r="T171" i="324"/>
  <c r="T340" i="324"/>
  <c r="T342" i="324" s="1"/>
  <c r="S171" i="324"/>
  <c r="S340" i="324"/>
  <c r="R171" i="324"/>
  <c r="R340" i="324"/>
  <c r="Q171" i="324"/>
  <c r="Q340" i="324"/>
  <c r="P171" i="324"/>
  <c r="P340" i="324"/>
  <c r="P342" i="324" s="1"/>
  <c r="O171" i="324"/>
  <c r="O340" i="324"/>
  <c r="O342" i="324"/>
  <c r="N171" i="324"/>
  <c r="N340" i="324"/>
  <c r="M171" i="324"/>
  <c r="M340" i="324"/>
  <c r="L171" i="324"/>
  <c r="L340" i="324"/>
  <c r="L342" i="324" s="1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 s="1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 s="1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 s="1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 s="1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 s="1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1" i="324"/>
  <c r="J161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50" i="324"/>
  <c r="J150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9" i="324"/>
  <c r="J139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8" i="324"/>
  <c r="J128" i="324" s="1"/>
  <c r="I127" i="324"/>
  <c r="J127" i="324" s="1"/>
  <c r="I126" i="324"/>
  <c r="J126" i="324" s="1"/>
  <c r="I125" i="324"/>
  <c r="J125" i="324" s="1"/>
  <c r="I124" i="324"/>
  <c r="J124" i="324" s="1"/>
  <c r="I123" i="324"/>
  <c r="J123" i="324"/>
  <c r="I122" i="324"/>
  <c r="J122" i="324"/>
  <c r="I121" i="324"/>
  <c r="J121" i="324"/>
  <c r="I120" i="324"/>
  <c r="J120" i="324"/>
  <c r="I119" i="324"/>
  <c r="J119" i="324"/>
  <c r="I118" i="324"/>
  <c r="J118" i="324"/>
  <c r="I117" i="324"/>
  <c r="J117" i="324" s="1"/>
  <c r="I116" i="324"/>
  <c r="J116" i="324" s="1"/>
  <c r="I115" i="324"/>
  <c r="J115" i="324" s="1"/>
  <c r="I114" i="324"/>
  <c r="J114" i="324" s="1"/>
  <c r="I113" i="324"/>
  <c r="J113" i="324" s="1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6" i="324"/>
  <c r="J106" i="324" s="1"/>
  <c r="I105" i="324"/>
  <c r="J105" i="324" s="1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5" i="324"/>
  <c r="J95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4" i="324"/>
  <c r="J84" i="324" s="1"/>
  <c r="I83" i="324"/>
  <c r="J83" i="324" s="1"/>
  <c r="I82" i="324"/>
  <c r="J82" i="324" s="1"/>
  <c r="I81" i="324"/>
  <c r="J81" i="324" s="1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3" i="324"/>
  <c r="J73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2" i="324"/>
  <c r="J62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1" i="324"/>
  <c r="J51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9" i="324"/>
  <c r="J29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 s="1"/>
  <c r="I18" i="324"/>
  <c r="J18" i="324" s="1"/>
  <c r="I17" i="324"/>
  <c r="J17" i="324"/>
  <c r="I16" i="324"/>
  <c r="J16" i="324"/>
  <c r="I15" i="324"/>
  <c r="J15" i="324"/>
  <c r="I14" i="324"/>
  <c r="J14" i="324"/>
  <c r="I13" i="324"/>
  <c r="J13" i="324"/>
  <c r="I12" i="324"/>
  <c r="J12" i="324"/>
  <c r="I11" i="324"/>
  <c r="J11" i="324"/>
  <c r="I10" i="324"/>
  <c r="J10" i="324"/>
  <c r="I9" i="324"/>
  <c r="J9" i="324"/>
  <c r="I8" i="324"/>
  <c r="J8" i="324"/>
  <c r="I7" i="324"/>
  <c r="J7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44" i="268"/>
  <c r="A45" i="268"/>
  <c r="A46" i="268"/>
  <c r="A47" i="268"/>
  <c r="A48" i="268"/>
  <c r="A49" i="268"/>
  <c r="A50" i="268"/>
  <c r="A51" i="268"/>
  <c r="A52" i="268"/>
  <c r="A53" i="268"/>
  <c r="A54" i="268"/>
  <c r="A55" i="268"/>
  <c r="A56" i="268"/>
  <c r="A57" i="268"/>
  <c r="A58" i="268"/>
  <c r="A59" i="268"/>
  <c r="A60" i="268"/>
  <c r="A61" i="268"/>
  <c r="A62" i="268"/>
  <c r="A43" i="268"/>
  <c r="I72" i="268"/>
  <c r="J72" i="268" s="1"/>
  <c r="I71" i="268"/>
  <c r="J71" i="268" s="1"/>
  <c r="I70" i="268"/>
  <c r="J70" i="268" s="1"/>
  <c r="I69" i="268"/>
  <c r="J69" i="268" s="1"/>
  <c r="I68" i="268"/>
  <c r="J68" i="268" s="1"/>
  <c r="I67" i="268"/>
  <c r="J67" i="268" s="1"/>
  <c r="J66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36" i="267" s="1"/>
  <c r="F48" i="178"/>
  <c r="F40" i="267" s="1"/>
  <c r="G26" i="178"/>
  <c r="F25" i="178"/>
  <c r="F37" i="267" s="1"/>
  <c r="E26" i="178"/>
  <c r="F39" i="174" s="1"/>
  <c r="C26" i="178"/>
  <c r="A49" i="178"/>
  <c r="A2" i="178"/>
  <c r="G3" i="178"/>
  <c r="F3" i="178"/>
  <c r="E3" i="178"/>
  <c r="D3" i="178"/>
  <c r="C3" i="178"/>
  <c r="B2" i="178"/>
  <c r="F40" i="178"/>
  <c r="F39" i="267" s="1"/>
  <c r="C41" i="178"/>
  <c r="E41" i="178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 s="1"/>
  <c r="I28" i="177"/>
  <c r="J28" i="177" s="1"/>
  <c r="E83" i="100"/>
  <c r="B83" i="100"/>
  <c r="I32" i="177"/>
  <c r="J32" i="177" s="1"/>
  <c r="I33" i="177"/>
  <c r="I34" i="177"/>
  <c r="J34" i="177"/>
  <c r="I36" i="177"/>
  <c r="J36" i="177" s="1"/>
  <c r="J35" i="177"/>
  <c r="J33" i="177"/>
  <c r="I22" i="177"/>
  <c r="J22" i="177" s="1"/>
  <c r="I27" i="177"/>
  <c r="J27" i="177" s="1"/>
  <c r="I23" i="177"/>
  <c r="J23" i="177" s="1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I104" i="172"/>
  <c r="G104" i="172"/>
  <c r="E104" i="172"/>
  <c r="C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 s="1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 s="1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B38" i="172" s="1"/>
  <c r="F15" i="180"/>
  <c r="B37" i="172" s="1"/>
  <c r="F14" i="180"/>
  <c r="B36" i="172" s="1"/>
  <c r="F13" i="180"/>
  <c r="B35" i="172" s="1"/>
  <c r="F12" i="180"/>
  <c r="B34" i="172" s="1"/>
  <c r="F11" i="180"/>
  <c r="B33" i="172" s="1"/>
  <c r="F10" i="180"/>
  <c r="F8" i="180"/>
  <c r="F9" i="180" s="1"/>
  <c r="G6" i="180"/>
  <c r="C28" i="172" s="1"/>
  <c r="F6" i="180"/>
  <c r="B28" i="172" s="1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/>
  <c r="C3" i="180"/>
  <c r="C2" i="172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 s="1"/>
  <c r="B78" i="172" s="1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G39" i="181"/>
  <c r="G43" i="181" s="1"/>
  <c r="H23" i="181"/>
  <c r="H37" i="181"/>
  <c r="H39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K39" i="181" s="1"/>
  <c r="K43" i="181" s="1"/>
  <c r="K45" i="181" s="1"/>
  <c r="F23" i="181"/>
  <c r="F37" i="181"/>
  <c r="E23" i="181"/>
  <c r="E37" i="181"/>
  <c r="D23" i="181"/>
  <c r="D37" i="181"/>
  <c r="C23" i="181"/>
  <c r="C37" i="181"/>
  <c r="C39" i="181"/>
  <c r="C43" i="181" s="1"/>
  <c r="C45" i="181" s="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I16" i="183" s="1"/>
  <c r="G29" i="183"/>
  <c r="H29" i="183"/>
  <c r="G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 s="1"/>
  <c r="I21" i="183"/>
  <c r="J21" i="183" s="1"/>
  <c r="I20" i="183"/>
  <c r="J20" i="183" s="1"/>
  <c r="I19" i="183"/>
  <c r="J19" i="183" s="1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C31" i="183" s="1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J15" i="18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52" i="242"/>
  <c r="J52" i="242" s="1"/>
  <c r="I44" i="242"/>
  <c r="J44" i="242"/>
  <c r="I45" i="242"/>
  <c r="J45" i="242"/>
  <c r="I46" i="242"/>
  <c r="J46" i="242"/>
  <c r="I47" i="242"/>
  <c r="J47" i="242"/>
  <c r="I41" i="242"/>
  <c r="J41" i="242"/>
  <c r="I8" i="242"/>
  <c r="J8" i="242" s="1"/>
  <c r="I9" i="242"/>
  <c r="J9" i="242" s="1"/>
  <c r="I10" i="242"/>
  <c r="J10" i="242"/>
  <c r="I11" i="242"/>
  <c r="J11" i="242" s="1"/>
  <c r="I12" i="242"/>
  <c r="J12" i="242"/>
  <c r="I13" i="242"/>
  <c r="J13" i="242" s="1"/>
  <c r="I14" i="242"/>
  <c r="J14" i="242" s="1"/>
  <c r="I15" i="242"/>
  <c r="J15" i="242" s="1"/>
  <c r="I16" i="242"/>
  <c r="J16" i="242"/>
  <c r="I17" i="242"/>
  <c r="J17" i="242" s="1"/>
  <c r="I18" i="242"/>
  <c r="J18" i="242"/>
  <c r="I19" i="242"/>
  <c r="J19" i="242"/>
  <c r="I20" i="242"/>
  <c r="J20" i="242"/>
  <c r="I21" i="242"/>
  <c r="J21" i="242"/>
  <c r="I22" i="242"/>
  <c r="J22" i="242" s="1"/>
  <c r="I23" i="242"/>
  <c r="J23" i="242" s="1"/>
  <c r="I24" i="242"/>
  <c r="J24" i="242"/>
  <c r="I25" i="242"/>
  <c r="J25" i="242"/>
  <c r="I26" i="242"/>
  <c r="J26" i="242"/>
  <c r="J27" i="242"/>
  <c r="I28" i="242"/>
  <c r="J28" i="242" s="1"/>
  <c r="I69" i="242"/>
  <c r="J69" i="242" s="1"/>
  <c r="I74" i="242"/>
  <c r="J74" i="242" s="1"/>
  <c r="I73" i="242"/>
  <c r="J73" i="242" s="1"/>
  <c r="I72" i="242"/>
  <c r="J72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50" i="242"/>
  <c r="J50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/>
  <c r="J67" i="326"/>
  <c r="I74" i="326"/>
  <c r="J74" i="326" s="1"/>
  <c r="I73" i="326"/>
  <c r="J73" i="326" s="1"/>
  <c r="I72" i="326"/>
  <c r="J72" i="326" s="1"/>
  <c r="I62" i="326"/>
  <c r="J62" i="326" s="1"/>
  <c r="I61" i="326"/>
  <c r="J61" i="326" s="1"/>
  <c r="I60" i="326"/>
  <c r="J60" i="326" s="1"/>
  <c r="I59" i="326"/>
  <c r="J59" i="326" s="1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7" i="326"/>
  <c r="J47" i="326" s="1"/>
  <c r="I46" i="326"/>
  <c r="J46" i="326" s="1"/>
  <c r="I45" i="326"/>
  <c r="J45" i="326" s="1"/>
  <c r="I44" i="326"/>
  <c r="J44" i="326" s="1"/>
  <c r="I43" i="326"/>
  <c r="J43" i="326" s="1"/>
  <c r="I42" i="326"/>
  <c r="J42" i="326" s="1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I28" i="326"/>
  <c r="J28" i="326" s="1"/>
  <c r="J27" i="326"/>
  <c r="I26" i="326"/>
  <c r="J26" i="326"/>
  <c r="I25" i="326"/>
  <c r="J25" i="326"/>
  <c r="I24" i="326"/>
  <c r="J24" i="326"/>
  <c r="I23" i="326"/>
  <c r="J23" i="326"/>
  <c r="I22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5" i="326"/>
  <c r="J15" i="326"/>
  <c r="I14" i="326"/>
  <c r="J14" i="326"/>
  <c r="I13" i="326"/>
  <c r="J13" i="326"/>
  <c r="I12" i="326"/>
  <c r="J12" i="326"/>
  <c r="I11" i="326"/>
  <c r="J11" i="326"/>
  <c r="I10" i="326"/>
  <c r="J10" i="326"/>
  <c r="I9" i="326"/>
  <c r="J9" i="326"/>
  <c r="I8" i="326"/>
  <c r="J8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7" i="325" s="1"/>
  <c r="K76" i="325" s="1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7" i="325" s="1"/>
  <c r="H11" i="325"/>
  <c r="H15" i="325"/>
  <c r="H19" i="325"/>
  <c r="H22" i="325"/>
  <c r="H28" i="325"/>
  <c r="I28" i="325" s="1"/>
  <c r="J28" i="325" s="1"/>
  <c r="H43" i="325"/>
  <c r="H47" i="325"/>
  <c r="I47" i="325" s="1"/>
  <c r="J47" i="325" s="1"/>
  <c r="H50" i="325"/>
  <c r="H64" i="325"/>
  <c r="I64" i="325" s="1"/>
  <c r="J64" i="325" s="1"/>
  <c r="H68" i="325"/>
  <c r="H72" i="325"/>
  <c r="I72" i="325" s="1"/>
  <c r="J72" i="325" s="1"/>
  <c r="G8" i="325"/>
  <c r="G11" i="325"/>
  <c r="G15" i="325"/>
  <c r="G19" i="325"/>
  <c r="G22" i="325"/>
  <c r="G7" i="325"/>
  <c r="G28" i="325"/>
  <c r="G43" i="325"/>
  <c r="I43" i="325" s="1"/>
  <c r="J43" i="325" s="1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7" i="325" s="1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7" i="325" s="1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7" i="325" s="1"/>
  <c r="C76" i="325" s="1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 s="1"/>
  <c r="I69" i="325"/>
  <c r="J69" i="325" s="1"/>
  <c r="J67" i="325"/>
  <c r="I74" i="325"/>
  <c r="J74" i="325"/>
  <c r="I73" i="325"/>
  <c r="J73" i="325"/>
  <c r="I62" i="325"/>
  <c r="J62" i="325" s="1"/>
  <c r="I61" i="325"/>
  <c r="J61" i="325"/>
  <c r="I60" i="325"/>
  <c r="J60" i="325"/>
  <c r="I59" i="325"/>
  <c r="J59" i="325"/>
  <c r="I58" i="325"/>
  <c r="J58" i="325"/>
  <c r="I57" i="325"/>
  <c r="J57" i="325"/>
  <c r="I56" i="325"/>
  <c r="J56" i="325"/>
  <c r="I55" i="325"/>
  <c r="J55" i="325"/>
  <c r="I54" i="325"/>
  <c r="J54" i="325"/>
  <c r="I53" i="325"/>
  <c r="J53" i="325"/>
  <c r="I52" i="325"/>
  <c r="J52" i="325"/>
  <c r="I51" i="325"/>
  <c r="J51" i="325"/>
  <c r="I49" i="325"/>
  <c r="J49" i="325"/>
  <c r="I48" i="325"/>
  <c r="J48" i="325"/>
  <c r="I46" i="325"/>
  <c r="J46" i="325"/>
  <c r="I45" i="325"/>
  <c r="J45" i="325"/>
  <c r="I44" i="325"/>
  <c r="J44" i="325"/>
  <c r="I42" i="325"/>
  <c r="J42" i="325"/>
  <c r="I41" i="325"/>
  <c r="J41" i="325"/>
  <c r="I40" i="325"/>
  <c r="J40" i="325"/>
  <c r="I39" i="325"/>
  <c r="J39" i="325"/>
  <c r="I38" i="325"/>
  <c r="J38" i="325"/>
  <c r="I37" i="325"/>
  <c r="J37" i="325"/>
  <c r="I36" i="325"/>
  <c r="J36" i="325"/>
  <c r="I35" i="325"/>
  <c r="J35" i="325"/>
  <c r="I34" i="325"/>
  <c r="J34" i="325"/>
  <c r="I33" i="325"/>
  <c r="J33" i="325"/>
  <c r="I32" i="325"/>
  <c r="J32" i="325"/>
  <c r="I31" i="325"/>
  <c r="J31" i="325"/>
  <c r="I30" i="325"/>
  <c r="J30" i="325"/>
  <c r="I29" i="325"/>
  <c r="J29" i="325"/>
  <c r="J27" i="325"/>
  <c r="I26" i="325"/>
  <c r="J26" i="325" s="1"/>
  <c r="I25" i="325"/>
  <c r="J25" i="325" s="1"/>
  <c r="I24" i="325"/>
  <c r="J24" i="325" s="1"/>
  <c r="I23" i="325"/>
  <c r="J23" i="325" s="1"/>
  <c r="I22" i="325"/>
  <c r="J22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5" i="325"/>
  <c r="J15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 s="1"/>
  <c r="G42" i="174"/>
  <c r="F42" i="174"/>
  <c r="F44" i="174"/>
  <c r="F55" i="174"/>
  <c r="F27" i="174" s="1"/>
  <c r="E42" i="174"/>
  <c r="E44" i="174"/>
  <c r="E55" i="174"/>
  <c r="H40" i="174"/>
  <c r="G40" i="174"/>
  <c r="F40" i="174"/>
  <c r="E40" i="174"/>
  <c r="D42" i="174"/>
  <c r="D44" i="174"/>
  <c r="D40" i="174"/>
  <c r="H63" i="174"/>
  <c r="H18" i="174"/>
  <c r="G63" i="174"/>
  <c r="G18" i="174" s="1"/>
  <c r="F63" i="174"/>
  <c r="F18" i="174"/>
  <c r="E63" i="174"/>
  <c r="E18" i="174"/>
  <c r="H59" i="174"/>
  <c r="H17" i="174" s="1"/>
  <c r="G59" i="174"/>
  <c r="F59" i="174"/>
  <c r="F17" i="174" s="1"/>
  <c r="E59" i="174"/>
  <c r="D63" i="174"/>
  <c r="D18" i="174"/>
  <c r="D59" i="174"/>
  <c r="H53" i="174"/>
  <c r="H14" i="174" s="1"/>
  <c r="G53" i="174"/>
  <c r="F53" i="174"/>
  <c r="F14" i="174"/>
  <c r="E53" i="174"/>
  <c r="D53" i="174"/>
  <c r="H52" i="174"/>
  <c r="H13" i="174"/>
  <c r="F52" i="174"/>
  <c r="F13" i="174"/>
  <c r="E52" i="174"/>
  <c r="D52" i="174"/>
  <c r="D13" i="174" s="1"/>
  <c r="H51" i="174"/>
  <c r="H50" i="174"/>
  <c r="G51" i="174"/>
  <c r="G50" i="174"/>
  <c r="F51" i="174"/>
  <c r="F50" i="174"/>
  <c r="E51" i="174"/>
  <c r="E50" i="174"/>
  <c r="D51" i="174"/>
  <c r="D50" i="174"/>
  <c r="H48" i="174"/>
  <c r="H49" i="174"/>
  <c r="G48" i="174"/>
  <c r="G49" i="174"/>
  <c r="F48" i="174"/>
  <c r="F49" i="174"/>
  <c r="E48" i="174"/>
  <c r="E49" i="174"/>
  <c r="D48" i="174"/>
  <c r="D49" i="174"/>
  <c r="H47" i="174"/>
  <c r="G47" i="174"/>
  <c r="F47" i="174"/>
  <c r="E47" i="174"/>
  <c r="D47" i="174"/>
  <c r="F45" i="174"/>
  <c r="E45" i="174"/>
  <c r="D45" i="174"/>
  <c r="H39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I26" i="175" s="1"/>
  <c r="I27" i="175" s="1"/>
  <c r="H21" i="175"/>
  <c r="H26" i="175" s="1"/>
  <c r="H27" i="175" s="1"/>
  <c r="G21" i="175"/>
  <c r="G26" i="175" s="1"/>
  <c r="G27" i="175" s="1"/>
  <c r="F21" i="175"/>
  <c r="E21" i="175"/>
  <c r="E26" i="175" s="1"/>
  <c r="E27" i="175" s="1"/>
  <c r="D21" i="175"/>
  <c r="A2" i="175"/>
  <c r="M14" i="175"/>
  <c r="M21" i="175"/>
  <c r="L15" i="173"/>
  <c r="A2" i="173"/>
  <c r="J12" i="238"/>
  <c r="J24" i="238" s="1"/>
  <c r="J22" i="238"/>
  <c r="I22" i="238"/>
  <c r="I24" i="238"/>
  <c r="H22" i="238"/>
  <c r="H24" i="238"/>
  <c r="A25" i="238"/>
  <c r="C41" i="270"/>
  <c r="C59" i="270"/>
  <c r="C69" i="270"/>
  <c r="I63" i="270"/>
  <c r="J63" i="270" s="1"/>
  <c r="I53" i="270"/>
  <c r="J53" i="270"/>
  <c r="K52" i="270"/>
  <c r="G52" i="270"/>
  <c r="H52" i="270"/>
  <c r="I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I59" i="270" s="1"/>
  <c r="F59" i="270"/>
  <c r="E59" i="270"/>
  <c r="D59" i="270"/>
  <c r="K41" i="270"/>
  <c r="K69" i="270"/>
  <c r="G41" i="270"/>
  <c r="H41" i="270"/>
  <c r="F41" i="270"/>
  <c r="E41" i="270"/>
  <c r="E69" i="270" s="1"/>
  <c r="D41" i="270"/>
  <c r="G27" i="270"/>
  <c r="H27" i="270"/>
  <c r="I28" i="270"/>
  <c r="J28" i="270" s="1"/>
  <c r="I29" i="270"/>
  <c r="J29" i="270" s="1"/>
  <c r="G30" i="270"/>
  <c r="H30" i="270"/>
  <c r="I31" i="270"/>
  <c r="J31" i="270" s="1"/>
  <c r="I37" i="270"/>
  <c r="J37" i="270" s="1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38" i="270" s="1"/>
  <c r="E27" i="270"/>
  <c r="E30" i="270"/>
  <c r="D8" i="270"/>
  <c r="D20" i="270"/>
  <c r="D27" i="270"/>
  <c r="D30" i="270"/>
  <c r="C8" i="270"/>
  <c r="C20" i="270"/>
  <c r="C27" i="270"/>
  <c r="A62" i="270"/>
  <c r="A44" i="334" s="1"/>
  <c r="A44" i="269"/>
  <c r="A59" i="270"/>
  <c r="A41" i="334"/>
  <c r="A41" i="269"/>
  <c r="A52" i="270"/>
  <c r="A38" i="334" s="1"/>
  <c r="A38" i="269"/>
  <c r="A41" i="270"/>
  <c r="A31" i="334"/>
  <c r="I42" i="270"/>
  <c r="J42" i="270" s="1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/>
  <c r="I21" i="270"/>
  <c r="J21" i="270" s="1"/>
  <c r="I23" i="270"/>
  <c r="J23" i="270"/>
  <c r="I24" i="270"/>
  <c r="J24" i="270"/>
  <c r="I25" i="270"/>
  <c r="J25" i="270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/>
  <c r="I42" i="269"/>
  <c r="J42" i="269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I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 s="1"/>
  <c r="I33" i="269"/>
  <c r="J33" i="269" s="1"/>
  <c r="I32" i="269"/>
  <c r="J32" i="269" s="1"/>
  <c r="K31" i="269"/>
  <c r="K47" i="269"/>
  <c r="H31" i="269"/>
  <c r="G31" i="269"/>
  <c r="F31" i="269"/>
  <c r="F47" i="269" s="1"/>
  <c r="E31" i="269"/>
  <c r="E47" i="269" s="1"/>
  <c r="D31" i="269"/>
  <c r="D47" i="269" s="1"/>
  <c r="C31" i="269"/>
  <c r="C47" i="269"/>
  <c r="K8" i="269"/>
  <c r="K16" i="269"/>
  <c r="K28" i="269" s="1"/>
  <c r="K49" i="269" s="1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J14" i="269" s="1"/>
  <c r="I15" i="269"/>
  <c r="J15" i="269"/>
  <c r="I17" i="269"/>
  <c r="J17" i="269" s="1"/>
  <c r="I18" i="269"/>
  <c r="J18" i="269" s="1"/>
  <c r="I19" i="269"/>
  <c r="J19" i="269"/>
  <c r="I20" i="269"/>
  <c r="J20" i="269"/>
  <c r="I21" i="269"/>
  <c r="J21" i="269"/>
  <c r="G22" i="269"/>
  <c r="H22" i="269"/>
  <c r="G25" i="269"/>
  <c r="I25" i="269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/>
  <c r="I26" i="269"/>
  <c r="J26" i="269"/>
  <c r="I24" i="269"/>
  <c r="J24" i="269"/>
  <c r="I23" i="269"/>
  <c r="J23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 s="1"/>
  <c r="G99" i="318"/>
  <c r="F30" i="318"/>
  <c r="F46" i="318"/>
  <c r="F106" i="318" s="1"/>
  <c r="F83" i="318"/>
  <c r="F99" i="318"/>
  <c r="G14" i="318"/>
  <c r="G67" i="318"/>
  <c r="G102" i="318" s="1"/>
  <c r="I102" i="318" s="1"/>
  <c r="J102" i="318" s="1"/>
  <c r="H14" i="318"/>
  <c r="H67" i="318"/>
  <c r="K14" i="318"/>
  <c r="K15" i="318" s="1"/>
  <c r="K30" i="318"/>
  <c r="K31" i="318"/>
  <c r="K46" i="318"/>
  <c r="K67" i="318"/>
  <c r="K68" i="318" s="1"/>
  <c r="K83" i="318"/>
  <c r="K84" i="318" s="1"/>
  <c r="K99" i="318"/>
  <c r="K100" i="318" s="1"/>
  <c r="E14" i="318"/>
  <c r="E15" i="318" s="1"/>
  <c r="E30" i="318"/>
  <c r="E49" i="318"/>
  <c r="E46" i="318"/>
  <c r="E47" i="318"/>
  <c r="E67" i="318"/>
  <c r="E83" i="318"/>
  <c r="E99" i="318"/>
  <c r="E100" i="318"/>
  <c r="D14" i="318"/>
  <c r="D15" i="318" s="1"/>
  <c r="D30" i="318"/>
  <c r="D31" i="318" s="1"/>
  <c r="D46" i="318"/>
  <c r="D47" i="318" s="1"/>
  <c r="D67" i="318"/>
  <c r="D68" i="318"/>
  <c r="D83" i="318"/>
  <c r="D99" i="318"/>
  <c r="D100" i="318" s="1"/>
  <c r="C83" i="318"/>
  <c r="E68" i="318"/>
  <c r="K47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F102" i="318" s="1"/>
  <c r="C99" i="318"/>
  <c r="A107" i="318"/>
  <c r="P22" i="317"/>
  <c r="P34" i="317" s="1"/>
  <c r="P55" i="317" s="1"/>
  <c r="P47" i="317"/>
  <c r="P53" i="317" s="1"/>
  <c r="O22" i="317"/>
  <c r="O34" i="317" s="1"/>
  <c r="O55" i="317" s="1"/>
  <c r="O47" i="317"/>
  <c r="O53" i="317"/>
  <c r="O56" i="317"/>
  <c r="Q22" i="317"/>
  <c r="Q34" i="317" s="1"/>
  <c r="Q55" i="317" s="1"/>
  <c r="Q47" i="317"/>
  <c r="Q53" i="317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H22" i="317"/>
  <c r="H34" i="317" s="1"/>
  <c r="H47" i="317"/>
  <c r="H53" i="317" s="1"/>
  <c r="I22" i="317"/>
  <c r="I34" i="317" s="1"/>
  <c r="I47" i="317"/>
  <c r="J22" i="317"/>
  <c r="J34" i="317" s="1"/>
  <c r="J55" i="317" s="1"/>
  <c r="J47" i="317"/>
  <c r="K22" i="317"/>
  <c r="K34" i="317"/>
  <c r="K55" i="317" s="1"/>
  <c r="K47" i="317"/>
  <c r="K66" i="317" s="1"/>
  <c r="L22" i="317"/>
  <c r="L34" i="317" s="1"/>
  <c r="L55" i="317" s="1"/>
  <c r="L47" i="317"/>
  <c r="L53" i="317" s="1"/>
  <c r="M22" i="317"/>
  <c r="M34" i="317" s="1"/>
  <c r="M55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 s="1"/>
  <c r="A2" i="317"/>
  <c r="N54" i="317"/>
  <c r="N36" i="317"/>
  <c r="N35" i="317"/>
  <c r="B13" i="100"/>
  <c r="P3" i="317" s="1"/>
  <c r="B2" i="317"/>
  <c r="B47" i="317"/>
  <c r="B53" i="317"/>
  <c r="B55" i="317" s="1"/>
  <c r="A58" i="317"/>
  <c r="E66" i="317"/>
  <c r="I78" i="325"/>
  <c r="J78" i="325" s="1"/>
  <c r="I78" i="326"/>
  <c r="J78" i="326" s="1"/>
  <c r="C7" i="326"/>
  <c r="C76" i="326" s="1"/>
  <c r="H7" i="326"/>
  <c r="H76" i="326" s="1"/>
  <c r="I76" i="326" s="1"/>
  <c r="J76" i="326" s="1"/>
  <c r="F7" i="326"/>
  <c r="F76" i="326" s="1"/>
  <c r="D7" i="326"/>
  <c r="D76" i="326" s="1"/>
  <c r="I78" i="242"/>
  <c r="J78" i="242" s="1"/>
  <c r="H17" i="180"/>
  <c r="H14" i="180"/>
  <c r="I16" i="180"/>
  <c r="E31" i="183"/>
  <c r="F31" i="183"/>
  <c r="D31" i="183"/>
  <c r="H31" i="183"/>
  <c r="E39" i="181"/>
  <c r="E43" i="181" s="1"/>
  <c r="E45" i="181" s="1"/>
  <c r="F39" i="181"/>
  <c r="F43" i="181"/>
  <c r="F45" i="181" s="1"/>
  <c r="F69" i="270"/>
  <c r="C43" i="178"/>
  <c r="C54" i="178" s="1"/>
  <c r="D39" i="174"/>
  <c r="F11" i="174"/>
  <c r="D14" i="174"/>
  <c r="E14" i="174"/>
  <c r="G41" i="178"/>
  <c r="G43" i="178" s="1"/>
  <c r="G54" i="178" s="1"/>
  <c r="D41" i="178"/>
  <c r="D43" i="178" s="1"/>
  <c r="D54" i="178" s="1"/>
  <c r="D26" i="178"/>
  <c r="E39" i="174" s="1"/>
  <c r="R342" i="324"/>
  <c r="S342" i="324"/>
  <c r="I231" i="324"/>
  <c r="I29" i="268"/>
  <c r="J29" i="268" s="1"/>
  <c r="H31" i="268"/>
  <c r="I275" i="324"/>
  <c r="I33" i="268"/>
  <c r="J33" i="268" s="1"/>
  <c r="H35" i="268"/>
  <c r="I319" i="324"/>
  <c r="E7" i="174"/>
  <c r="F26" i="174"/>
  <c r="H21" i="267"/>
  <c r="I21" i="267" s="1"/>
  <c r="H22" i="267"/>
  <c r="I22" i="267"/>
  <c r="J11" i="267"/>
  <c r="C39" i="272"/>
  <c r="I14" i="272"/>
  <c r="J14" i="272" s="1"/>
  <c r="Q340" i="323"/>
  <c r="D39" i="272"/>
  <c r="K339" i="323"/>
  <c r="K341" i="323" s="1"/>
  <c r="I68" i="325"/>
  <c r="J68" i="325" s="1"/>
  <c r="I19" i="325"/>
  <c r="J19" i="325" s="1"/>
  <c r="I11" i="325"/>
  <c r="J11" i="325" s="1"/>
  <c r="K7" i="326"/>
  <c r="K76" i="326" s="1"/>
  <c r="G7" i="326"/>
  <c r="E7" i="326"/>
  <c r="E76" i="326"/>
  <c r="K7" i="242"/>
  <c r="K76" i="242"/>
  <c r="G7" i="242"/>
  <c r="E7" i="242"/>
  <c r="E76" i="242" s="1"/>
  <c r="I43" i="183"/>
  <c r="J43" i="183" s="1"/>
  <c r="I29" i="183"/>
  <c r="J29" i="183" s="1"/>
  <c r="G31" i="183"/>
  <c r="D39" i="181"/>
  <c r="D43" i="181"/>
  <c r="D45" i="181" s="1"/>
  <c r="I99" i="318"/>
  <c r="J99" i="318" s="1"/>
  <c r="G106" i="318"/>
  <c r="J25" i="269"/>
  <c r="I30" i="270"/>
  <c r="J30" i="270" s="1"/>
  <c r="I27" i="270"/>
  <c r="J27" i="270" s="1"/>
  <c r="I20" i="270"/>
  <c r="J20" i="270" s="1"/>
  <c r="K14" i="175"/>
  <c r="J50" i="267" s="1"/>
  <c r="D11" i="174"/>
  <c r="G14" i="174"/>
  <c r="J275" i="324"/>
  <c r="M342" i="324"/>
  <c r="Q342" i="324"/>
  <c r="U342" i="324"/>
  <c r="H172" i="324"/>
  <c r="H24" i="267"/>
  <c r="I24" i="267"/>
  <c r="I32" i="272"/>
  <c r="J32" i="272"/>
  <c r="L340" i="323"/>
  <c r="T340" i="323"/>
  <c r="I20" i="272"/>
  <c r="J20" i="272"/>
  <c r="I18" i="272"/>
  <c r="J18" i="272"/>
  <c r="I16" i="272"/>
  <c r="J16" i="272"/>
  <c r="C38" i="330"/>
  <c r="C16" i="330"/>
  <c r="C6" i="330"/>
  <c r="I14" i="318"/>
  <c r="J14" i="318" s="1"/>
  <c r="J9" i="270"/>
  <c r="C38" i="270"/>
  <c r="C71" i="270" s="1"/>
  <c r="J6" i="180"/>
  <c r="H11" i="180"/>
  <c r="C63" i="268"/>
  <c r="E63" i="268"/>
  <c r="D63" i="268"/>
  <c r="F63" i="268"/>
  <c r="K63" i="268"/>
  <c r="C30" i="241"/>
  <c r="C75" i="330"/>
  <c r="C41" i="241"/>
  <c r="C107" i="330"/>
  <c r="C122" i="330"/>
  <c r="C44" i="241"/>
  <c r="C43" i="241" s="1"/>
  <c r="F44" i="241"/>
  <c r="F85" i="330"/>
  <c r="F17" i="241"/>
  <c r="G47" i="241"/>
  <c r="I47" i="241" s="1"/>
  <c r="J47" i="241" s="1"/>
  <c r="G45" i="241"/>
  <c r="I126" i="330"/>
  <c r="J126" i="330" s="1"/>
  <c r="G107" i="330"/>
  <c r="G32" i="241"/>
  <c r="G21" i="241"/>
  <c r="G18" i="241"/>
  <c r="G15" i="241"/>
  <c r="I15" i="241" s="1"/>
  <c r="J15" i="241" s="1"/>
  <c r="I34" i="330"/>
  <c r="J34" i="330" s="1"/>
  <c r="G11" i="241"/>
  <c r="G10" i="241" s="1"/>
  <c r="B93" i="100"/>
  <c r="D122" i="330"/>
  <c r="D44" i="241"/>
  <c r="D34" i="241"/>
  <c r="D85" i="330"/>
  <c r="D17" i="241"/>
  <c r="E40" i="241"/>
  <c r="E39" i="241" s="1"/>
  <c r="E107" i="330"/>
  <c r="E32" i="241"/>
  <c r="E75" i="330"/>
  <c r="E53" i="330"/>
  <c r="E21" i="241"/>
  <c r="E11" i="241"/>
  <c r="E16" i="330"/>
  <c r="H48" i="241"/>
  <c r="I135" i="330"/>
  <c r="J135" i="330" s="1"/>
  <c r="I129" i="330"/>
  <c r="J129" i="330" s="1"/>
  <c r="H34" i="241"/>
  <c r="H19" i="241"/>
  <c r="I49" i="330"/>
  <c r="J49" i="330" s="1"/>
  <c r="H13" i="241"/>
  <c r="I13" i="241" s="1"/>
  <c r="J13" i="241" s="1"/>
  <c r="I27" i="330"/>
  <c r="J27" i="330" s="1"/>
  <c r="K40" i="241"/>
  <c r="K39" i="241" s="1"/>
  <c r="K32" i="241"/>
  <c r="K75" i="330"/>
  <c r="K53" i="330"/>
  <c r="K21" i="241"/>
  <c r="K11" i="241"/>
  <c r="K16" i="330"/>
  <c r="D21" i="241"/>
  <c r="E122" i="330"/>
  <c r="E141" i="330" s="1"/>
  <c r="E44" i="241"/>
  <c r="E43" i="241" s="1"/>
  <c r="F53" i="330"/>
  <c r="G44" i="241"/>
  <c r="K122" i="330"/>
  <c r="C53" i="330"/>
  <c r="C21" i="241"/>
  <c r="C20" i="241" s="1"/>
  <c r="G76" i="242"/>
  <c r="J16" i="183"/>
  <c r="I31" i="183"/>
  <c r="J31" i="183" s="1"/>
  <c r="H43" i="181"/>
  <c r="H45" i="181" s="1"/>
  <c r="I39" i="181"/>
  <c r="J39" i="181" s="1"/>
  <c r="L66" i="317"/>
  <c r="H66" i="317"/>
  <c r="F66" i="317"/>
  <c r="D102" i="318"/>
  <c r="E50" i="318"/>
  <c r="I176" i="324"/>
  <c r="I242" i="324"/>
  <c r="J242" i="324" s="1"/>
  <c r="I253" i="324"/>
  <c r="I31" i="268" s="1"/>
  <c r="J31" i="268" s="1"/>
  <c r="I264" i="324"/>
  <c r="J264" i="324"/>
  <c r="I330" i="324"/>
  <c r="I38" i="268" s="1"/>
  <c r="J38" i="268" s="1"/>
  <c r="F28" i="174"/>
  <c r="D2" i="272"/>
  <c r="B77" i="172"/>
  <c r="B79" i="100"/>
  <c r="B77" i="100"/>
  <c r="B96" i="100"/>
  <c r="B97" i="100"/>
  <c r="I24" i="268"/>
  <c r="J24" i="268" s="1"/>
  <c r="J176" i="324"/>
  <c r="I7" i="326"/>
  <c r="J7" i="326"/>
  <c r="C7" i="242"/>
  <c r="C76" i="242"/>
  <c r="H7" i="242"/>
  <c r="F7" i="242"/>
  <c r="D7" i="242"/>
  <c r="D76" i="242" s="1"/>
  <c r="C49" i="318"/>
  <c r="K102" i="318"/>
  <c r="K49" i="318"/>
  <c r="J38" i="269"/>
  <c r="I41" i="269"/>
  <c r="J41" i="269" s="1"/>
  <c r="G28" i="269"/>
  <c r="I22" i="269"/>
  <c r="J22" i="269" s="1"/>
  <c r="K38" i="270"/>
  <c r="K71" i="270" s="1"/>
  <c r="G69" i="270"/>
  <c r="D69" i="270"/>
  <c r="I8" i="270"/>
  <c r="J8" i="270" s="1"/>
  <c r="H11" i="174"/>
  <c r="F10" i="174"/>
  <c r="N342" i="324"/>
  <c r="I11" i="268"/>
  <c r="J11" i="268"/>
  <c r="I13" i="268"/>
  <c r="J13" i="268"/>
  <c r="I15" i="268"/>
  <c r="J15" i="268"/>
  <c r="I17" i="268"/>
  <c r="J17" i="268"/>
  <c r="I19" i="268"/>
  <c r="J19" i="268"/>
  <c r="I286" i="324"/>
  <c r="I34" i="268"/>
  <c r="J34" i="268" s="1"/>
  <c r="I297" i="324"/>
  <c r="F7" i="174"/>
  <c r="H28" i="174"/>
  <c r="D11" i="267"/>
  <c r="K39" i="272"/>
  <c r="I83" i="323"/>
  <c r="J83" i="323" s="1"/>
  <c r="I61" i="323"/>
  <c r="J61" i="323" s="1"/>
  <c r="E339" i="323"/>
  <c r="S340" i="323"/>
  <c r="I19" i="272"/>
  <c r="J19" i="272"/>
  <c r="I17" i="272"/>
  <c r="J17" i="272"/>
  <c r="I15" i="272"/>
  <c r="J15" i="272"/>
  <c r="C339" i="323"/>
  <c r="E33" i="241"/>
  <c r="I38" i="241"/>
  <c r="J38" i="241" s="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185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K53" i="317"/>
  <c r="G53" i="317"/>
  <c r="G66" i="317"/>
  <c r="E31" i="318"/>
  <c r="E106" i="318"/>
  <c r="D28" i="269"/>
  <c r="D2" i="177"/>
  <c r="I8" i="268"/>
  <c r="J8" i="268" s="1"/>
  <c r="I12" i="268"/>
  <c r="J12" i="268" s="1"/>
  <c r="I14" i="268"/>
  <c r="J14" i="268" s="1"/>
  <c r="I18" i="268"/>
  <c r="J18" i="268" s="1"/>
  <c r="I20" i="268"/>
  <c r="J20" i="268" s="1"/>
  <c r="K21" i="268"/>
  <c r="K40" i="268" s="1"/>
  <c r="I30" i="268"/>
  <c r="J30" i="268" s="1"/>
  <c r="J231" i="324"/>
  <c r="D84" i="318"/>
  <c r="D106" i="318"/>
  <c r="E84" i="318"/>
  <c r="E102" i="318"/>
  <c r="E104" i="318"/>
  <c r="E105" i="318" s="1"/>
  <c r="H102" i="318"/>
  <c r="I67" i="318"/>
  <c r="J67" i="318" s="1"/>
  <c r="C28" i="269"/>
  <c r="C49" i="269" s="1"/>
  <c r="I6" i="268"/>
  <c r="J12" i="180"/>
  <c r="J14" i="180"/>
  <c r="J16" i="180"/>
  <c r="H10" i="180"/>
  <c r="H12" i="180"/>
  <c r="I14" i="180"/>
  <c r="I15" i="180"/>
  <c r="E43" i="178"/>
  <c r="E54" i="178" s="1"/>
  <c r="F16" i="330"/>
  <c r="I96" i="330"/>
  <c r="J96" i="330" s="1"/>
  <c r="I103" i="330"/>
  <c r="J103" i="330" s="1"/>
  <c r="I118" i="330"/>
  <c r="J118" i="330" s="1"/>
  <c r="C341" i="324"/>
  <c r="F341" i="324"/>
  <c r="K172" i="324"/>
  <c r="K343" i="324" s="1"/>
  <c r="K50" i="318"/>
  <c r="K104" i="318"/>
  <c r="K105" i="318" s="1"/>
  <c r="I38" i="270"/>
  <c r="I35" i="268"/>
  <c r="J35" i="268"/>
  <c r="J297" i="324"/>
  <c r="J6" i="268"/>
  <c r="C102" i="318"/>
  <c r="C104" i="318" s="1"/>
  <c r="D49" i="318"/>
  <c r="D104" i="318" s="1"/>
  <c r="D105" i="318" s="1"/>
  <c r="C106" i="318"/>
  <c r="G7" i="333"/>
  <c r="G50" i="333"/>
  <c r="G50" i="326"/>
  <c r="I50" i="326"/>
  <c r="J50" i="326" s="1"/>
  <c r="I52" i="326"/>
  <c r="J52" i="326" s="1"/>
  <c r="G76" i="325"/>
  <c r="J52" i="270"/>
  <c r="K31" i="183"/>
  <c r="I23" i="181"/>
  <c r="J23" i="181"/>
  <c r="J330" i="324"/>
  <c r="G8" i="180"/>
  <c r="G9" i="180" s="1"/>
  <c r="C29" i="172"/>
  <c r="I6" i="323"/>
  <c r="J6" i="323" s="1"/>
  <c r="G6" i="272"/>
  <c r="F7" i="272"/>
  <c r="D7" i="272"/>
  <c r="E39" i="177"/>
  <c r="E41" i="177" s="1"/>
  <c r="D46" i="267" s="1"/>
  <c r="C39" i="268"/>
  <c r="G85" i="330"/>
  <c r="A39" i="323"/>
  <c r="A83" i="323"/>
  <c r="A127" i="323"/>
  <c r="I308" i="324"/>
  <c r="J308" i="324"/>
  <c r="A33" i="268"/>
  <c r="A29" i="268"/>
  <c r="A25" i="268"/>
  <c r="I36" i="268"/>
  <c r="J36" i="268"/>
  <c r="G76" i="333"/>
  <c r="I43" i="181"/>
  <c r="J43" i="181" s="1"/>
  <c r="G45" i="181"/>
  <c r="I45" i="181" s="1"/>
  <c r="J45" i="181" s="1"/>
  <c r="O66" i="317"/>
  <c r="I8" i="325"/>
  <c r="J8" i="325"/>
  <c r="F7" i="325"/>
  <c r="F76" i="325"/>
  <c r="J8" i="180"/>
  <c r="I17" i="180"/>
  <c r="I10" i="180"/>
  <c r="I13" i="180"/>
  <c r="H16" i="180"/>
  <c r="I198" i="324"/>
  <c r="J198" i="324" s="1"/>
  <c r="H7" i="333"/>
  <c r="I26" i="268"/>
  <c r="J26" i="268" s="1"/>
  <c r="K15" i="173"/>
  <c r="J52" i="267" s="1"/>
  <c r="A1" i="328"/>
  <c r="A1" i="331"/>
  <c r="B8" i="331"/>
  <c r="I37" i="268"/>
  <c r="J37" i="268" s="1"/>
  <c r="J319" i="324"/>
  <c r="I53" i="317"/>
  <c r="I66" i="317"/>
  <c r="I32" i="268"/>
  <c r="J32" i="268"/>
  <c r="C30" i="172"/>
  <c r="G76" i="326"/>
  <c r="J286" i="324"/>
  <c r="P66" i="317"/>
  <c r="H76" i="242"/>
  <c r="C72" i="330"/>
  <c r="C150" i="330" s="1"/>
  <c r="J53" i="317"/>
  <c r="J66" i="317"/>
  <c r="B30" i="172"/>
  <c r="H8" i="180"/>
  <c r="I8" i="180" s="1"/>
  <c r="B32" i="172"/>
  <c r="J10" i="180"/>
  <c r="I41" i="270"/>
  <c r="J41" i="270" s="1"/>
  <c r="K106" i="318"/>
  <c r="I16" i="269"/>
  <c r="J16" i="269" s="1"/>
  <c r="I37" i="181"/>
  <c r="J37" i="181"/>
  <c r="H15" i="180"/>
  <c r="D11" i="241"/>
  <c r="D10" i="241" s="1"/>
  <c r="D16" i="330"/>
  <c r="I42" i="241"/>
  <c r="J42" i="241" s="1"/>
  <c r="G34" i="241"/>
  <c r="H25" i="241"/>
  <c r="I66" i="330"/>
  <c r="J66" i="330" s="1"/>
  <c r="K7" i="241"/>
  <c r="K6" i="330"/>
  <c r="E6" i="272"/>
  <c r="E21" i="272"/>
  <c r="E171" i="323"/>
  <c r="E341" i="323" s="1"/>
  <c r="E7" i="241"/>
  <c r="E6" i="241" s="1"/>
  <c r="E6" i="330"/>
  <c r="I25" i="241"/>
  <c r="J25" i="241" s="1"/>
  <c r="G19" i="241"/>
  <c r="I19" i="241" s="1"/>
  <c r="J19" i="241" s="1"/>
  <c r="H75" i="330"/>
  <c r="C21" i="268"/>
  <c r="C40" i="268"/>
  <c r="B28" i="267" s="1"/>
  <c r="B12" i="100"/>
  <c r="O3" i="317" s="1"/>
  <c r="B81" i="100"/>
  <c r="D19" i="267"/>
  <c r="D20" i="267" s="1"/>
  <c r="D23" i="267" s="1"/>
  <c r="D25" i="267" s="1"/>
  <c r="J19" i="267"/>
  <c r="J20" i="267" s="1"/>
  <c r="J23" i="267" s="1"/>
  <c r="J25" i="267" s="1"/>
  <c r="A31" i="268"/>
  <c r="A61" i="323"/>
  <c r="A27" i="268"/>
  <c r="A62" i="324"/>
  <c r="D46" i="174"/>
  <c r="D8" i="174" s="1"/>
  <c r="C86" i="268"/>
  <c r="B4" i="100"/>
  <c r="B101" i="100" s="1"/>
  <c r="A1" i="172" s="1"/>
  <c r="F8" i="334"/>
  <c r="G8" i="334"/>
  <c r="G9" i="334"/>
  <c r="F31" i="334"/>
  <c r="C2" i="175"/>
  <c r="D2" i="330"/>
  <c r="C2" i="326"/>
  <c r="C2" i="330"/>
  <c r="D2" i="324"/>
  <c r="G38" i="334"/>
  <c r="F25" i="334"/>
  <c r="G25" i="334"/>
  <c r="F41" i="334"/>
  <c r="G41" i="334"/>
  <c r="G39" i="334"/>
  <c r="G45" i="334"/>
  <c r="F16" i="334"/>
  <c r="G16" i="334"/>
  <c r="F22" i="334"/>
  <c r="G22" i="334"/>
  <c r="F28" i="334"/>
  <c r="G28" i="334"/>
  <c r="I37" i="177" l="1"/>
  <c r="J37" i="177" s="1"/>
  <c r="H85" i="330"/>
  <c r="I85" i="330" s="1"/>
  <c r="J85" i="330" s="1"/>
  <c r="C33" i="241"/>
  <c r="E29" i="241"/>
  <c r="C10" i="241"/>
  <c r="D7" i="174"/>
  <c r="I7" i="242"/>
  <c r="J7" i="242" s="1"/>
  <c r="F76" i="242"/>
  <c r="I55" i="317"/>
  <c r="J13" i="180"/>
  <c r="J17" i="180"/>
  <c r="H13" i="180"/>
  <c r="I12" i="180"/>
  <c r="J11" i="180"/>
  <c r="I11" i="180"/>
  <c r="H55" i="317"/>
  <c r="D49" i="334"/>
  <c r="E39" i="268"/>
  <c r="F26" i="178"/>
  <c r="G39" i="174" s="1"/>
  <c r="G52" i="174"/>
  <c r="G13" i="174" s="1"/>
  <c r="G341" i="324"/>
  <c r="I187" i="324"/>
  <c r="I25" i="268" s="1"/>
  <c r="J25" i="268" s="1"/>
  <c r="I40" i="324"/>
  <c r="J40" i="324" s="1"/>
  <c r="G63" i="268"/>
  <c r="G73" i="268" s="1"/>
  <c r="G74" i="268" s="1"/>
  <c r="I74" i="268" s="1"/>
  <c r="J74" i="268" s="1"/>
  <c r="G43" i="241"/>
  <c r="F171" i="323"/>
  <c r="I64" i="330"/>
  <c r="J64" i="330" s="1"/>
  <c r="G54" i="182"/>
  <c r="G171" i="323"/>
  <c r="G341" i="323" s="1"/>
  <c r="I76" i="242"/>
  <c r="J76" i="242" s="1"/>
  <c r="D10" i="174"/>
  <c r="C171" i="323"/>
  <c r="C341" i="323" s="1"/>
  <c r="C29" i="241"/>
  <c r="C16" i="241"/>
  <c r="C26" i="241" s="1"/>
  <c r="C6" i="241"/>
  <c r="B11" i="267"/>
  <c r="B20" i="267" s="1"/>
  <c r="B23" i="267" s="1"/>
  <c r="B25" i="267" s="1"/>
  <c r="D27" i="174"/>
  <c r="D26" i="174"/>
  <c r="D17" i="174"/>
  <c r="D28" i="174"/>
  <c r="C39" i="182"/>
  <c r="C43" i="182" s="1"/>
  <c r="C45" i="182" s="1"/>
  <c r="C47" i="182" s="1"/>
  <c r="C49" i="182" s="1"/>
  <c r="I62" i="270"/>
  <c r="J62" i="270" s="1"/>
  <c r="I43" i="268"/>
  <c r="J43" i="268" s="1"/>
  <c r="G55" i="317"/>
  <c r="H10" i="174"/>
  <c r="F41" i="178"/>
  <c r="G53" i="330"/>
  <c r="K72" i="330"/>
  <c r="K6" i="241"/>
  <c r="F33" i="241"/>
  <c r="H16" i="330"/>
  <c r="I207" i="323"/>
  <c r="J207" i="323" s="1"/>
  <c r="I196" i="323"/>
  <c r="J196" i="323" s="1"/>
  <c r="H26" i="174"/>
  <c r="F55" i="317"/>
  <c r="F67" i="317" s="1"/>
  <c r="N22" i="317"/>
  <c r="N34" i="317" s="1"/>
  <c r="E28" i="269"/>
  <c r="F28" i="269"/>
  <c r="E49" i="334"/>
  <c r="G31" i="334"/>
  <c r="C49" i="334"/>
  <c r="G44" i="334"/>
  <c r="B31" i="172"/>
  <c r="J9" i="180"/>
  <c r="F7" i="180"/>
  <c r="G45" i="174"/>
  <c r="G7" i="174" s="1"/>
  <c r="I37" i="182"/>
  <c r="J37" i="182" s="1"/>
  <c r="E18" i="267"/>
  <c r="E19" i="267" s="1"/>
  <c r="E20" i="241"/>
  <c r="G6" i="241"/>
  <c r="K20" i="241"/>
  <c r="I54" i="330"/>
  <c r="J54" i="330" s="1"/>
  <c r="I9" i="241"/>
  <c r="J9" i="241" s="1"/>
  <c r="H45" i="174"/>
  <c r="H7" i="174" s="1"/>
  <c r="I34" i="241"/>
  <c r="J34" i="241" s="1"/>
  <c r="I112" i="330"/>
  <c r="J112" i="330" s="1"/>
  <c r="I123" i="330"/>
  <c r="J123" i="330" s="1"/>
  <c r="F38" i="330"/>
  <c r="F10" i="241"/>
  <c r="H9" i="180"/>
  <c r="I9" i="180" s="1"/>
  <c r="K29" i="241"/>
  <c r="G29" i="241"/>
  <c r="I24" i="241"/>
  <c r="J24" i="241" s="1"/>
  <c r="G38" i="330"/>
  <c r="I60" i="330"/>
  <c r="J60" i="330" s="1"/>
  <c r="K107" i="330"/>
  <c r="K141" i="330" s="1"/>
  <c r="I43" i="330"/>
  <c r="J43" i="330" s="1"/>
  <c r="I22" i="241"/>
  <c r="J22" i="241" s="1"/>
  <c r="E39" i="272"/>
  <c r="E40" i="272" s="1"/>
  <c r="K21" i="272"/>
  <c r="K40" i="272" s="1"/>
  <c r="I50" i="325"/>
  <c r="J50" i="325" s="1"/>
  <c r="K41" i="177"/>
  <c r="J46" i="267" s="1"/>
  <c r="E55" i="317"/>
  <c r="C55" i="317"/>
  <c r="C57" i="317" s="1"/>
  <c r="D56" i="317" s="1"/>
  <c r="H69" i="270"/>
  <c r="I8" i="269"/>
  <c r="I31" i="269"/>
  <c r="J31" i="269" s="1"/>
  <c r="H28" i="269"/>
  <c r="H47" i="269"/>
  <c r="G11" i="174"/>
  <c r="I47" i="268"/>
  <c r="J47" i="268" s="1"/>
  <c r="F11" i="267"/>
  <c r="H25" i="272"/>
  <c r="H39" i="272" s="1"/>
  <c r="I86" i="330"/>
  <c r="J86" i="330" s="1"/>
  <c r="G11" i="267"/>
  <c r="H11" i="267" s="1"/>
  <c r="I11" i="267" s="1"/>
  <c r="G122" i="330"/>
  <c r="G141" i="330" s="1"/>
  <c r="F26" i="175"/>
  <c r="F27" i="175" s="1"/>
  <c r="D76" i="325"/>
  <c r="E76" i="325"/>
  <c r="H106" i="318"/>
  <c r="I46" i="318"/>
  <c r="J46" i="318" s="1"/>
  <c r="H49" i="318"/>
  <c r="H104" i="318" s="1"/>
  <c r="F49" i="318"/>
  <c r="F104" i="318" s="1"/>
  <c r="G49" i="318"/>
  <c r="G104" i="318" s="1"/>
  <c r="I30" i="318"/>
  <c r="J30" i="318" s="1"/>
  <c r="D55" i="317"/>
  <c r="H7" i="267"/>
  <c r="I7" i="267" s="1"/>
  <c r="I23" i="182"/>
  <c r="J23" i="182" s="1"/>
  <c r="H39" i="182"/>
  <c r="H43" i="182" s="1"/>
  <c r="H45" i="182" s="1"/>
  <c r="H47" i="182" s="1"/>
  <c r="H49" i="182" s="1"/>
  <c r="G47" i="269"/>
  <c r="G49" i="269" s="1"/>
  <c r="D49" i="269"/>
  <c r="F49" i="269"/>
  <c r="E49" i="269"/>
  <c r="I44" i="269"/>
  <c r="I47" i="269" s="1"/>
  <c r="E71" i="270"/>
  <c r="F38" i="270"/>
  <c r="F71" i="270" s="1"/>
  <c r="H6" i="180"/>
  <c r="I6" i="180" s="1"/>
  <c r="I25" i="272"/>
  <c r="J25" i="272" s="1"/>
  <c r="I24" i="272"/>
  <c r="J24" i="272" s="1"/>
  <c r="I46" i="241"/>
  <c r="J46" i="241" s="1"/>
  <c r="G75" i="330"/>
  <c r="I75" i="330" s="1"/>
  <c r="J75" i="330" s="1"/>
  <c r="H39" i="177"/>
  <c r="H41" i="177" s="1"/>
  <c r="G46" i="267" s="1"/>
  <c r="H63" i="268"/>
  <c r="G33" i="267"/>
  <c r="H30" i="267"/>
  <c r="I30" i="267" s="1"/>
  <c r="G39" i="268"/>
  <c r="J187" i="324"/>
  <c r="I220" i="324"/>
  <c r="D341" i="324"/>
  <c r="F39" i="268"/>
  <c r="F40" i="268" s="1"/>
  <c r="G39" i="182"/>
  <c r="G43" i="182" s="1"/>
  <c r="G45" i="182" s="1"/>
  <c r="G47" i="182" s="1"/>
  <c r="G49" i="182" s="1"/>
  <c r="F39" i="272"/>
  <c r="G39" i="272"/>
  <c r="G6" i="330"/>
  <c r="I133" i="330"/>
  <c r="J133" i="330" s="1"/>
  <c r="F75" i="330"/>
  <c r="I76" i="330"/>
  <c r="J76" i="330" s="1"/>
  <c r="H122" i="330"/>
  <c r="G39" i="241"/>
  <c r="I40" i="241"/>
  <c r="J40" i="241" s="1"/>
  <c r="I108" i="330"/>
  <c r="J108" i="330" s="1"/>
  <c r="G33" i="241"/>
  <c r="I30" i="241"/>
  <c r="J30" i="241" s="1"/>
  <c r="F43" i="241"/>
  <c r="F122" i="330"/>
  <c r="I57" i="330"/>
  <c r="J57" i="330" s="1"/>
  <c r="H38" i="330"/>
  <c r="I38" i="330" s="1"/>
  <c r="J38" i="330" s="1"/>
  <c r="I16" i="330"/>
  <c r="J16" i="330" s="1"/>
  <c r="I8" i="241"/>
  <c r="J8" i="241" s="1"/>
  <c r="F20" i="241"/>
  <c r="F6" i="330"/>
  <c r="A1" i="324"/>
  <c r="A1" i="241"/>
  <c r="I27" i="272"/>
  <c r="J27" i="272" s="1"/>
  <c r="I26" i="272"/>
  <c r="J26" i="272" s="1"/>
  <c r="G21" i="272"/>
  <c r="F20" i="267"/>
  <c r="F23" i="267" s="1"/>
  <c r="F25" i="267" s="1"/>
  <c r="G26" i="174"/>
  <c r="F39" i="182"/>
  <c r="F43" i="182" s="1"/>
  <c r="F45" i="182" s="1"/>
  <c r="F47" i="182" s="1"/>
  <c r="F49" i="182" s="1"/>
  <c r="E11" i="267"/>
  <c r="I39" i="323"/>
  <c r="J39" i="323" s="1"/>
  <c r="H16" i="241"/>
  <c r="I17" i="241"/>
  <c r="J17" i="241" s="1"/>
  <c r="I39" i="330"/>
  <c r="J39" i="330" s="1"/>
  <c r="I17" i="330"/>
  <c r="J17" i="330" s="1"/>
  <c r="G10" i="174"/>
  <c r="I53" i="268"/>
  <c r="J53" i="268" s="1"/>
  <c r="D50" i="318"/>
  <c r="H38" i="270"/>
  <c r="J38" i="270" s="1"/>
  <c r="N47" i="317"/>
  <c r="N53" i="317" s="1"/>
  <c r="N55" i="317" s="1"/>
  <c r="G38" i="270"/>
  <c r="G71" i="270" s="1"/>
  <c r="D38" i="270"/>
  <c r="D71" i="270" s="1"/>
  <c r="H43" i="267"/>
  <c r="I43" i="267" s="1"/>
  <c r="H44" i="267"/>
  <c r="I44" i="267" s="1"/>
  <c r="E21" i="268"/>
  <c r="E40" i="268" s="1"/>
  <c r="G21" i="268"/>
  <c r="G172" i="324"/>
  <c r="I172" i="324" s="1"/>
  <c r="J172" i="324" s="1"/>
  <c r="E172" i="324"/>
  <c r="E343" i="324" s="1"/>
  <c r="F172" i="324"/>
  <c r="F343" i="324" s="1"/>
  <c r="D39" i="268"/>
  <c r="H29" i="267"/>
  <c r="I29" i="267" s="1"/>
  <c r="F21" i="272"/>
  <c r="I11" i="330"/>
  <c r="J11" i="330" s="1"/>
  <c r="F29" i="241"/>
  <c r="F339" i="323"/>
  <c r="F341" i="323" s="1"/>
  <c r="C86" i="242"/>
  <c r="C86" i="326"/>
  <c r="M67" i="317"/>
  <c r="L67" i="317"/>
  <c r="K67" i="317"/>
  <c r="G67" i="317"/>
  <c r="E67" i="317"/>
  <c r="O67" i="317"/>
  <c r="O57" i="317"/>
  <c r="P56" i="317" s="1"/>
  <c r="P57" i="317" s="1"/>
  <c r="Q56" i="317" s="1"/>
  <c r="Q57" i="317" s="1"/>
  <c r="P67" i="317"/>
  <c r="J44" i="269"/>
  <c r="H76" i="325"/>
  <c r="I76" i="325" s="1"/>
  <c r="J76" i="325" s="1"/>
  <c r="I7" i="325"/>
  <c r="J7" i="325" s="1"/>
  <c r="I67" i="317"/>
  <c r="G10" i="180"/>
  <c r="C31" i="172"/>
  <c r="J28" i="267"/>
  <c r="H46" i="174"/>
  <c r="H8" i="174" s="1"/>
  <c r="K86" i="268"/>
  <c r="K86" i="326"/>
  <c r="K86" i="242"/>
  <c r="J67" i="317"/>
  <c r="H67" i="317"/>
  <c r="I49" i="318"/>
  <c r="J49" i="318" s="1"/>
  <c r="J83" i="318"/>
  <c r="J59" i="270"/>
  <c r="I69" i="270"/>
  <c r="I7" i="333"/>
  <c r="J7" i="333" s="1"/>
  <c r="F47" i="334"/>
  <c r="J253" i="324"/>
  <c r="C141" i="330"/>
  <c r="C142" i="330" s="1"/>
  <c r="E11" i="174"/>
  <c r="I8" i="272"/>
  <c r="J8" i="272" s="1"/>
  <c r="I6" i="272"/>
  <c r="J6" i="272" s="1"/>
  <c r="I9" i="272"/>
  <c r="J9" i="272" s="1"/>
  <c r="I17" i="323"/>
  <c r="J17" i="323" s="1"/>
  <c r="C11" i="272"/>
  <c r="C21" i="272" s="1"/>
  <c r="C40" i="272" s="1"/>
  <c r="C11" i="267"/>
  <c r="I50" i="323"/>
  <c r="J50" i="323" s="1"/>
  <c r="I28" i="323"/>
  <c r="J28" i="323" s="1"/>
  <c r="J26" i="175"/>
  <c r="J27" i="175" s="1"/>
  <c r="D30" i="241"/>
  <c r="D75" i="330"/>
  <c r="D141" i="330" s="1"/>
  <c r="E18" i="241"/>
  <c r="E38" i="330"/>
  <c r="E72" i="330" s="1"/>
  <c r="E142" i="330" s="1"/>
  <c r="F40" i="241"/>
  <c r="F39" i="241" s="1"/>
  <c r="F107" i="330"/>
  <c r="H107" i="330"/>
  <c r="I107" i="330" s="1"/>
  <c r="C39" i="241"/>
  <c r="C49" i="241" s="1"/>
  <c r="I36" i="241"/>
  <c r="J36" i="241" s="1"/>
  <c r="K43" i="241"/>
  <c r="K16" i="241"/>
  <c r="I9" i="268"/>
  <c r="J9" i="268" s="1"/>
  <c r="I10" i="268"/>
  <c r="J10" i="268" s="1"/>
  <c r="I52" i="333"/>
  <c r="J52" i="333" s="1"/>
  <c r="H50" i="333"/>
  <c r="I50" i="333" s="1"/>
  <c r="J50" i="333" s="1"/>
  <c r="F6" i="241"/>
  <c r="G20" i="241"/>
  <c r="I45" i="241"/>
  <c r="J45" i="241" s="1"/>
  <c r="H53" i="330"/>
  <c r="B14" i="100"/>
  <c r="Q3" i="317" s="1"/>
  <c r="C172" i="324"/>
  <c r="C343" i="324" s="1"/>
  <c r="I16" i="268"/>
  <c r="J16" i="268" s="1"/>
  <c r="I18" i="177"/>
  <c r="J18" i="177" s="1"/>
  <c r="I57" i="268"/>
  <c r="H8" i="267"/>
  <c r="I8" i="267" s="1"/>
  <c r="L21" i="175"/>
  <c r="C79" i="172"/>
  <c r="B79" i="172" s="1"/>
  <c r="D26" i="175"/>
  <c r="D27" i="175" s="1"/>
  <c r="L14" i="175"/>
  <c r="H171" i="323"/>
  <c r="H21" i="241"/>
  <c r="I21" i="241" s="1"/>
  <c r="J21" i="241" s="1"/>
  <c r="G17" i="174"/>
  <c r="H10" i="267"/>
  <c r="I10" i="267" s="1"/>
  <c r="G28" i="174"/>
  <c r="E20" i="267"/>
  <c r="E23" i="267" s="1"/>
  <c r="E25" i="267" s="1"/>
  <c r="H46" i="267"/>
  <c r="I46" i="267" s="1"/>
  <c r="E10" i="174"/>
  <c r="E13" i="174"/>
  <c r="E17" i="174"/>
  <c r="J57" i="268"/>
  <c r="H21" i="268"/>
  <c r="I7" i="268"/>
  <c r="D21" i="268"/>
  <c r="D40" i="268" s="1"/>
  <c r="D86" i="326" s="1"/>
  <c r="D172" i="324"/>
  <c r="D343" i="324" s="1"/>
  <c r="I41" i="241"/>
  <c r="J41" i="241" s="1"/>
  <c r="H39" i="241"/>
  <c r="I39" i="241" s="1"/>
  <c r="J39" i="241" s="1"/>
  <c r="I32" i="241"/>
  <c r="J32" i="241" s="1"/>
  <c r="H29" i="241"/>
  <c r="I29" i="241" s="1"/>
  <c r="I80" i="330"/>
  <c r="J80" i="330" s="1"/>
  <c r="D43" i="241"/>
  <c r="D29" i="241"/>
  <c r="I23" i="241"/>
  <c r="J23" i="241" s="1"/>
  <c r="H6" i="330"/>
  <c r="I7" i="330"/>
  <c r="J7" i="330" s="1"/>
  <c r="K33" i="241"/>
  <c r="G16" i="241"/>
  <c r="D39" i="241"/>
  <c r="E16" i="241"/>
  <c r="H33" i="241"/>
  <c r="I33" i="241" s="1"/>
  <c r="J33" i="241" s="1"/>
  <c r="I11" i="241"/>
  <c r="J11" i="241" s="1"/>
  <c r="H10" i="241"/>
  <c r="I10" i="241" s="1"/>
  <c r="J10" i="241" s="1"/>
  <c r="E10" i="241"/>
  <c r="E26" i="241" s="1"/>
  <c r="E49" i="241"/>
  <c r="K10" i="241"/>
  <c r="I18" i="241"/>
  <c r="J18" i="241" s="1"/>
  <c r="H43" i="241"/>
  <c r="I48" i="241"/>
  <c r="J48" i="241" s="1"/>
  <c r="D33" i="241"/>
  <c r="F16" i="241"/>
  <c r="I44" i="241"/>
  <c r="D16" i="241"/>
  <c r="I7" i="241"/>
  <c r="J7" i="241" s="1"/>
  <c r="H6" i="241"/>
  <c r="D53" i="330"/>
  <c r="D22" i="241"/>
  <c r="D20" i="241" s="1"/>
  <c r="D38" i="330"/>
  <c r="D6" i="330"/>
  <c r="D6" i="241"/>
  <c r="I28" i="272"/>
  <c r="J28" i="272" s="1"/>
  <c r="H339" i="323"/>
  <c r="I339" i="323" s="1"/>
  <c r="J339" i="323" s="1"/>
  <c r="D339" i="323"/>
  <c r="D171" i="323"/>
  <c r="H7" i="272"/>
  <c r="I7" i="272" s="1"/>
  <c r="J7" i="272" s="1"/>
  <c r="D21" i="272"/>
  <c r="D40" i="272" s="1"/>
  <c r="H10" i="272"/>
  <c r="I10" i="272" s="1"/>
  <c r="J10" i="272" s="1"/>
  <c r="H18" i="267"/>
  <c r="I18" i="267" s="1"/>
  <c r="G19" i="267"/>
  <c r="C20" i="267"/>
  <c r="C23" i="267" s="1"/>
  <c r="C25" i="267" s="1"/>
  <c r="E28" i="174"/>
  <c r="E27" i="174"/>
  <c r="E26" i="174"/>
  <c r="A12" i="268"/>
  <c r="A10" i="268"/>
  <c r="B61" i="100"/>
  <c r="A1" i="174" s="1"/>
  <c r="A1" i="177"/>
  <c r="A1" i="267"/>
  <c r="A1" i="323"/>
  <c r="C77" i="172"/>
  <c r="D2" i="333"/>
  <c r="C2" i="173"/>
  <c r="D2" i="183"/>
  <c r="A53" i="172"/>
  <c r="A104" i="172" s="1"/>
  <c r="D2" i="318"/>
  <c r="D2" i="182"/>
  <c r="C2" i="267"/>
  <c r="D2" i="178"/>
  <c r="D2" i="325"/>
  <c r="D2" i="270"/>
  <c r="D2" i="181"/>
  <c r="C2" i="180"/>
  <c r="C2" i="317"/>
  <c r="C2" i="334"/>
  <c r="A15" i="175"/>
  <c r="C2" i="272"/>
  <c r="D2" i="242"/>
  <c r="D2" i="326"/>
  <c r="C2" i="323"/>
  <c r="D2" i="268"/>
  <c r="D2" i="323"/>
  <c r="D2" i="241"/>
  <c r="D2" i="269"/>
  <c r="C2" i="324"/>
  <c r="A1" i="183"/>
  <c r="A1" i="175"/>
  <c r="A1" i="242"/>
  <c r="B2" i="180"/>
  <c r="B2" i="172" s="1"/>
  <c r="D2" i="174"/>
  <c r="C2" i="269"/>
  <c r="O2" i="317"/>
  <c r="C2" i="177"/>
  <c r="A54" i="172"/>
  <c r="A103" i="172" s="1"/>
  <c r="C2" i="182"/>
  <c r="C2" i="268"/>
  <c r="C2" i="181"/>
  <c r="C2" i="270"/>
  <c r="C2" i="325"/>
  <c r="C2" i="183"/>
  <c r="B102" i="100"/>
  <c r="A26" i="172" s="1"/>
  <c r="C2" i="333"/>
  <c r="B2" i="267"/>
  <c r="C2" i="242"/>
  <c r="C2" i="318"/>
  <c r="C2" i="241"/>
  <c r="C2" i="178"/>
  <c r="A1" i="173"/>
  <c r="A1" i="269"/>
  <c r="A1" i="318"/>
  <c r="A1" i="325"/>
  <c r="A1" i="182"/>
  <c r="A1" i="178"/>
  <c r="A1" i="272"/>
  <c r="A1" i="333"/>
  <c r="A1" i="270"/>
  <c r="A1" i="326"/>
  <c r="A1" i="251"/>
  <c r="A1" i="268"/>
  <c r="A1" i="330"/>
  <c r="I171" i="323" l="1"/>
  <c r="J171" i="323" s="1"/>
  <c r="F32" i="267"/>
  <c r="I73" i="268"/>
  <c r="J73" i="268" s="1"/>
  <c r="F43" i="178"/>
  <c r="F54" i="178" s="1"/>
  <c r="G40" i="268"/>
  <c r="F28" i="267" s="1"/>
  <c r="I63" i="268"/>
  <c r="J63" i="268" s="1"/>
  <c r="I106" i="318"/>
  <c r="C50" i="241"/>
  <c r="G72" i="330"/>
  <c r="G142" i="330" s="1"/>
  <c r="K142" i="330"/>
  <c r="K49" i="241"/>
  <c r="K26" i="241"/>
  <c r="F72" i="330"/>
  <c r="I39" i="182"/>
  <c r="J39" i="182" s="1"/>
  <c r="I122" i="330"/>
  <c r="J122" i="330" s="1"/>
  <c r="H49" i="269"/>
  <c r="H7" i="180"/>
  <c r="I7" i="180" s="1"/>
  <c r="J7" i="180"/>
  <c r="B29" i="172"/>
  <c r="I53" i="330"/>
  <c r="J53" i="330" s="1"/>
  <c r="H71" i="270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J8" i="269"/>
  <c r="I28" i="269"/>
  <c r="J28" i="269" s="1"/>
  <c r="J106" i="318"/>
  <c r="I104" i="318"/>
  <c r="J104" i="318" s="1"/>
  <c r="N66" i="317"/>
  <c r="G40" i="272"/>
  <c r="G49" i="241"/>
  <c r="E28" i="267"/>
  <c r="F86" i="326"/>
  <c r="F86" i="242"/>
  <c r="I28" i="268"/>
  <c r="J220" i="324"/>
  <c r="F86" i="268"/>
  <c r="F40" i="272"/>
  <c r="F141" i="330"/>
  <c r="H20" i="241"/>
  <c r="H26" i="241" s="1"/>
  <c r="F26" i="241"/>
  <c r="H72" i="330"/>
  <c r="I72" i="330" s="1"/>
  <c r="J72" i="330" s="1"/>
  <c r="I20" i="241"/>
  <c r="H341" i="323"/>
  <c r="I341" i="323" s="1"/>
  <c r="J341" i="323" s="1"/>
  <c r="A1" i="180"/>
  <c r="E86" i="268"/>
  <c r="F46" i="174"/>
  <c r="F8" i="174" s="1"/>
  <c r="E86" i="326"/>
  <c r="D28" i="267"/>
  <c r="E86" i="242"/>
  <c r="G343" i="324"/>
  <c r="G86" i="242"/>
  <c r="F49" i="241"/>
  <c r="J107" i="330"/>
  <c r="N67" i="317"/>
  <c r="E50" i="241"/>
  <c r="H141" i="330"/>
  <c r="C32" i="172"/>
  <c r="G11" i="180"/>
  <c r="J47" i="269"/>
  <c r="F49" i="334"/>
  <c r="G49" i="334" s="1"/>
  <c r="G47" i="334"/>
  <c r="I71" i="270"/>
  <c r="J71" i="270" s="1"/>
  <c r="J69" i="270"/>
  <c r="H76" i="333"/>
  <c r="I76" i="333" s="1"/>
  <c r="J76" i="333" s="1"/>
  <c r="J7" i="268"/>
  <c r="I21" i="268"/>
  <c r="D86" i="268"/>
  <c r="D86" i="242"/>
  <c r="C28" i="267"/>
  <c r="E46" i="174"/>
  <c r="E8" i="174" s="1"/>
  <c r="I6" i="330"/>
  <c r="J6" i="330" s="1"/>
  <c r="H49" i="241"/>
  <c r="D49" i="241"/>
  <c r="I16" i="241"/>
  <c r="J16" i="241" s="1"/>
  <c r="G26" i="241"/>
  <c r="J29" i="241"/>
  <c r="I43" i="241"/>
  <c r="J43" i="241" s="1"/>
  <c r="J44" i="241"/>
  <c r="I6" i="241"/>
  <c r="D26" i="241"/>
  <c r="D72" i="330"/>
  <c r="D142" i="330" s="1"/>
  <c r="I39" i="272"/>
  <c r="J39" i="272" s="1"/>
  <c r="D341" i="323"/>
  <c r="I21" i="272"/>
  <c r="H21" i="272"/>
  <c r="H40" i="272" s="1"/>
  <c r="G20" i="267"/>
  <c r="H19" i="267"/>
  <c r="I19" i="267" s="1"/>
  <c r="A1" i="181"/>
  <c r="A1" i="317"/>
  <c r="A1" i="334"/>
  <c r="A1" i="238"/>
  <c r="H32" i="267" l="1"/>
  <c r="I32" i="267" s="1"/>
  <c r="F33" i="267"/>
  <c r="H33" i="267" s="1"/>
  <c r="I33" i="267" s="1"/>
  <c r="G86" i="268"/>
  <c r="G46" i="174"/>
  <c r="G8" i="174" s="1"/>
  <c r="G86" i="326"/>
  <c r="G50" i="241"/>
  <c r="K50" i="241"/>
  <c r="F142" i="330"/>
  <c r="I141" i="330"/>
  <c r="J141" i="330" s="1"/>
  <c r="I49" i="269"/>
  <c r="J49" i="269" s="1"/>
  <c r="J28" i="268"/>
  <c r="J20" i="241"/>
  <c r="H142" i="330"/>
  <c r="I142" i="330" s="1"/>
  <c r="J142" i="330" s="1"/>
  <c r="F50" i="241"/>
  <c r="G12" i="180"/>
  <c r="C33" i="172"/>
  <c r="J21" i="268"/>
  <c r="H50" i="241"/>
  <c r="D50" i="241"/>
  <c r="I49" i="241"/>
  <c r="J49" i="241" s="1"/>
  <c r="J6" i="241"/>
  <c r="I26" i="241"/>
  <c r="I40" i="272"/>
  <c r="J40" i="272" s="1"/>
  <c r="J21" i="272"/>
  <c r="G23" i="267"/>
  <c r="H20" i="267"/>
  <c r="I20" i="267" s="1"/>
  <c r="C34" i="172" l="1"/>
  <c r="G13" i="180"/>
  <c r="J26" i="241"/>
  <c r="I50" i="241"/>
  <c r="J50" i="241" s="1"/>
  <c r="G25" i="267"/>
  <c r="H25" i="267" s="1"/>
  <c r="I25" i="267" s="1"/>
  <c r="H23" i="267"/>
  <c r="I23" i="267" s="1"/>
  <c r="C35" i="172" l="1"/>
  <c r="G14" i="180"/>
  <c r="C36" i="172" l="1"/>
  <c r="G15" i="180"/>
  <c r="C37" i="172" l="1"/>
  <c r="G16" i="180"/>
  <c r="G17" i="180" l="1"/>
  <c r="C39" i="172" s="1"/>
  <c r="C38" i="172"/>
  <c r="I213" i="324" l="1"/>
  <c r="J213" i="324" s="1"/>
  <c r="H209" i="324"/>
  <c r="H341" i="324" s="1"/>
  <c r="I341" i="324" l="1"/>
  <c r="J341" i="324" s="1"/>
  <c r="H343" i="324"/>
  <c r="I343" i="324" s="1"/>
  <c r="J343" i="324" s="1"/>
  <c r="I209" i="324"/>
  <c r="H27" i="268"/>
  <c r="H39" i="268" s="1"/>
  <c r="H40" i="268" s="1"/>
  <c r="H86" i="242" l="1"/>
  <c r="H86" i="326"/>
  <c r="G28" i="267"/>
  <c r="H28" i="267" s="1"/>
  <c r="I28" i="267" s="1"/>
  <c r="H86" i="268"/>
  <c r="J209" i="324"/>
  <c r="I27" i="268"/>
  <c r="J27" i="268" l="1"/>
  <c r="I39" i="268"/>
  <c r="J39" i="268" l="1"/>
  <c r="I40" i="268"/>
  <c r="J40" i="268" s="1"/>
  <c r="K20" i="175" l="1"/>
  <c r="C81" i="172" s="1"/>
  <c r="B81" i="172" s="1"/>
  <c r="C21" i="175"/>
  <c r="C26" i="175" s="1"/>
  <c r="C27" i="175" s="1"/>
  <c r="K21" i="175" l="1"/>
  <c r="K26" i="175" s="1"/>
  <c r="K27" i="175" s="1"/>
</calcChain>
</file>

<file path=xl/sharedStrings.xml><?xml version="1.0" encoding="utf-8"?>
<sst xmlns="http://schemas.openxmlformats.org/spreadsheetml/2006/main" count="2323" uniqueCount="1384">
  <si>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</si>
  <si>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</si>
  <si>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</si>
  <si>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</si>
  <si>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</si>
  <si>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</si>
  <si>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</si>
  <si>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</si>
  <si>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</si>
  <si>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</si>
  <si>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</si>
  <si>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</si>
  <si>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</si>
  <si>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</si>
  <si>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</si>
  <si>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</si>
  <si>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</si>
  <si>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</si>
  <si>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</si>
  <si>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</si>
  <si>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</si>
  <si>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</si>
  <si>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</si>
  <si>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</si>
  <si>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</si>
  <si>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</si>
  <si>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</si>
  <si>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</si>
  <si>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</si>
  <si>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</si>
  <si>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</si>
  <si>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</si>
  <si>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</si>
  <si>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</si>
  <si>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</si>
  <si>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</si>
  <si>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</si>
  <si>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</si>
  <si>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</si>
  <si>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</si>
  <si>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</si>
  <si>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</si>
  <si>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</si>
  <si>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</si>
  <si>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</si>
  <si>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</si>
  <si>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</si>
  <si>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</si>
  <si>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</si>
  <si>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</si>
  <si>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</si>
  <si>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</si>
  <si>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</si>
  <si>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</si>
  <si>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</si>
  <si>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</si>
  <si>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</si>
  <si>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</si>
  <si>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</si>
  <si>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</si>
  <si>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</si>
  <si>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</si>
  <si>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</si>
  <si>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</si>
  <si>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</si>
  <si>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</si>
  <si>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</si>
  <si>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</si>
  <si>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</si>
  <si>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</si>
  <si>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</si>
  <si>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</si>
  <si>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</si>
  <si>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</si>
  <si>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</si>
  <si>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</si>
  <si>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</si>
  <si>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</si>
  <si>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</si>
  <si>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</si>
  <si>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</si>
  <si>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</si>
  <si>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</si>
  <si>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</si>
  <si>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</si>
  <si>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</si>
  <si>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</si>
  <si>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</si>
  <si>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</si>
  <si>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</si>
  <si>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</si>
  <si>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</si>
  <si>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</si>
  <si>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</si>
  <si>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</si>
  <si>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</si>
  <si>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</si>
  <si>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</si>
  <si>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</si>
  <si>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</si>
  <si>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</si>
  <si>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</si>
  <si>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</si>
  <si>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</si>
  <si>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</si>
  <si>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</si>
  <si>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</si>
  <si>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</si>
  <si>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</si>
  <si>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</si>
  <si>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</si>
  <si>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</si>
  <si>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</si>
  <si>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</si>
  <si>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</si>
  <si>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</si>
  <si>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</si>
  <si>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</si>
  <si>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</si>
  <si>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</si>
  <si>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</si>
  <si>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</si>
  <si>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</si>
  <si>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</si>
  <si>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</si>
  <si>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</si>
  <si>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</si>
  <si>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</si>
  <si>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</si>
  <si>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</si>
  <si>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</si>
  <si>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</si>
  <si>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</si>
  <si>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</si>
  <si>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</si>
  <si>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</si>
  <si>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</si>
  <si>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</si>
  <si>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</si>
  <si>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</si>
  <si>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</si>
  <si>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</si>
  <si>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</si>
  <si>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</si>
  <si>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</si>
  <si>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</si>
  <si>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</si>
  <si>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</si>
  <si>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</si>
  <si>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</si>
  <si>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</si>
  <si>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</si>
  <si>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</si>
  <si>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</si>
  <si>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</si>
  <si>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</si>
  <si>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</si>
  <si>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</si>
  <si>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</si>
  <si>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</si>
  <si>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</si>
  <si>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</si>
  <si>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</si>
  <si>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</si>
  <si>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</si>
  <si>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</si>
  <si>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</si>
  <si>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</si>
  <si>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</si>
  <si>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</si>
  <si>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</si>
  <si>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</si>
  <si>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</si>
  <si>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</si>
  <si>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</si>
  <si>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</si>
  <si>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</si>
  <si>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</si>
  <si>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</si>
  <si>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</si>
  <si>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</si>
  <si>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</si>
  <si>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</si>
  <si>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</si>
  <si>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</si>
  <si>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</si>
  <si>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</si>
  <si>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</si>
  <si>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</si>
  <si>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</si>
  <si>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</si>
  <si>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</si>
  <si>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</si>
  <si>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</si>
  <si>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</si>
  <si>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</si>
  <si>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</si>
  <si>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</si>
  <si>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</si>
  <si>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</si>
  <si>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</si>
  <si>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</si>
  <si>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</si>
  <si>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</si>
  <si>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</si>
  <si>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</si>
  <si>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</si>
  <si>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</si>
  <si>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</si>
  <si>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</si>
  <si>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</si>
  <si>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</si>
  <si>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</si>
  <si>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</si>
  <si>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</si>
  <si>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</si>
  <si>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</si>
  <si>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</si>
  <si>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</si>
  <si>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</si>
  <si>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</si>
  <si>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</si>
  <si>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</si>
  <si>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</si>
  <si>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</si>
  <si>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</si>
  <si>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</si>
  <si>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</si>
  <si>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</si>
  <si>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</si>
  <si>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</si>
  <si>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</si>
  <si>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</si>
  <si>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</si>
  <si>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</si>
  <si>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</si>
  <si>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</si>
  <si>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</si>
  <si>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</si>
  <si>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</si>
  <si>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</si>
  <si>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</si>
  <si>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</si>
  <si>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</si>
  <si>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</si>
  <si>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</si>
  <si>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</si>
  <si>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</si>
  <si>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</si>
  <si>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</si>
  <si>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</si>
  <si>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</si>
  <si>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</si>
  <si>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</si>
  <si>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</si>
  <si>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</si>
  <si>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</si>
  <si>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</si>
  <si>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</si>
  <si>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</si>
  <si>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</si>
  <si>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</si>
  <si>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</si>
  <si>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</si>
  <si>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</si>
  <si>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</si>
  <si>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</si>
  <si>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</si>
  <si>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</si>
  <si>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</si>
  <si>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</si>
  <si>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</si>
  <si>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</si>
  <si>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</si>
  <si>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</si>
  <si>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</si>
  <si>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</si>
  <si>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</si>
  <si>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</si>
  <si>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</si>
  <si>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</si>
  <si>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</si>
  <si>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</si>
  <si>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</si>
  <si>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</si>
  <si>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</si>
  <si>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</si>
  <si>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</si>
  <si>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</si>
  <si>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</si>
  <si>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</si>
  <si>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</si>
  <si>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</si>
  <si>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</si>
  <si>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</si>
  <si>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</si>
  <si>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</si>
  <si>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</si>
  <si>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</si>
  <si>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</si>
  <si>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</si>
  <si>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</si>
  <si>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</si>
  <si>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</si>
  <si>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</si>
  <si>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</si>
  <si>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</si>
  <si>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</si>
  <si>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</si>
  <si>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</si>
  <si>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</si>
  <si>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</si>
  <si>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</si>
  <si>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</si>
  <si>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</si>
  <si>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</si>
  <si>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</si>
  <si>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</si>
  <si>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</si>
  <si>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</si>
  <si>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</si>
  <si>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</si>
  <si>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</si>
  <si>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</si>
  <si>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</si>
  <si>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</si>
  <si>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</si>
  <si>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</si>
  <si>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</si>
  <si>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</si>
  <si>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</si>
  <si>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</si>
  <si>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</si>
  <si>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</si>
  <si>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</si>
  <si>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</si>
  <si>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</si>
  <si>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</si>
  <si>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</si>
  <si>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</si>
  <si>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</si>
  <si>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</si>
  <si>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</si>
  <si>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</si>
  <si>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</si>
  <si>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</si>
  <si>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</si>
  <si>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</si>
  <si>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</si>
  <si>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</si>
  <si>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</si>
  <si>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</si>
  <si>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</si>
  <si>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</si>
  <si>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</si>
  <si>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</si>
  <si>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</si>
  <si>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</si>
  <si>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</si>
  <si>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</si>
  <si>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</si>
  <si>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</si>
  <si>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</si>
  <si>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</si>
  <si>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</si>
  <si>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</si>
  <si>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</si>
  <si>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</si>
  <si>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</si>
  <si>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</si>
  <si>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</si>
  <si>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</si>
  <si>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</si>
  <si>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</si>
  <si>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</si>
  <si>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</si>
  <si>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</si>
  <si>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</si>
  <si>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</si>
  <si>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</si>
  <si>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</si>
  <si>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</si>
  <si>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</si>
  <si>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</si>
  <si>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</si>
  <si>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</si>
  <si>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</si>
  <si>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</si>
  <si>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</si>
  <si>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</si>
  <si>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</si>
  <si>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</si>
  <si>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</si>
  <si>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</si>
  <si>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</si>
  <si>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</si>
  <si>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</si>
  <si>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</si>
  <si>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</si>
  <si>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</si>
  <si>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</si>
  <si>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</si>
  <si>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</si>
  <si>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</si>
  <si>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</si>
  <si>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</si>
  <si>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</si>
  <si>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</si>
  <si>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</si>
  <si>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</si>
  <si>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</si>
  <si>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</si>
  <si>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</si>
  <si>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</si>
  <si>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</si>
  <si>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</si>
  <si>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</si>
  <si>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</si>
  <si>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</si>
  <si>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</si>
  <si>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</si>
  <si>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</si>
  <si>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</si>
  <si>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</si>
  <si>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</si>
  <si>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</si>
  <si>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</si>
  <si>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</si>
  <si>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</si>
  <si>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</si>
  <si>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</si>
  <si>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</si>
  <si>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</si>
  <si>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</si>
  <si>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</si>
  <si>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</si>
  <si>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</si>
  <si>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</si>
  <si>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</si>
  <si>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</si>
  <si>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</si>
  <si>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</si>
  <si>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</si>
  <si>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</si>
  <si>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</si>
  <si>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</si>
  <si>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</si>
  <si>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</si>
  <si>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</si>
  <si>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</si>
  <si>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</si>
  <si>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</si>
  <si>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</si>
  <si>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</si>
  <si>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</si>
  <si>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</si>
  <si>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</si>
  <si>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</si>
  <si>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</si>
  <si>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</si>
  <si>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</si>
  <si>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</si>
  <si>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</si>
  <si>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</si>
  <si>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</si>
  <si>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</si>
  <si>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</si>
  <si>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</si>
  <si>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</si>
  <si>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</si>
  <si>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</si>
  <si>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</si>
  <si>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</si>
  <si>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</si>
  <si>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</si>
  <si>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</si>
  <si>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</si>
  <si>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</si>
  <si>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</si>
  <si>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</si>
  <si>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</si>
  <si>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</si>
  <si>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</si>
  <si>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</si>
  <si>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</si>
  <si>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</si>
  <si>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</si>
  <si>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</si>
  <si>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</si>
  <si>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</si>
  <si>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</si>
  <si>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</si>
  <si>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</si>
  <si>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</si>
  <si>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</si>
  <si>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</si>
  <si>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</si>
  <si>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</si>
  <si>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</si>
  <si>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</si>
  <si>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</si>
  <si>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</si>
  <si>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</si>
  <si>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</si>
  <si>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</si>
  <si>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</si>
  <si>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</si>
  <si>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</si>
  <si>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</si>
  <si>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</si>
  <si>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</si>
  <si>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</si>
  <si>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</si>
  <si>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</si>
  <si>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</si>
  <si>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</si>
  <si>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</si>
  <si>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</si>
  <si>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</si>
  <si>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</si>
  <si>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</si>
  <si>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</si>
  <si>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</si>
  <si>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</si>
  <si>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</si>
  <si>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</si>
  <si>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</si>
  <si>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</si>
  <si>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</si>
  <si>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</si>
  <si>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</si>
  <si>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</si>
  <si>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</si>
  <si>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</si>
  <si>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</si>
  <si>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</si>
  <si>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</si>
  <si>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</si>
  <si>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</si>
  <si>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</si>
  <si>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</si>
  <si>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</si>
  <si>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</si>
  <si>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</si>
  <si>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</si>
  <si>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</si>
  <si>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</si>
  <si>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</si>
  <si>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</si>
  <si>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</si>
  <si>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</si>
  <si>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</si>
  <si>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</si>
  <si>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</si>
  <si>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</si>
  <si>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</si>
  <si>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</si>
  <si>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</si>
  <si>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</si>
  <si>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</si>
  <si>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</si>
  <si>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</si>
  <si>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</si>
  <si>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</si>
  <si>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</si>
  <si>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</si>
  <si>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</si>
  <si>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</si>
  <si>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</si>
  <si>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</si>
  <si>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</si>
  <si>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</si>
  <si>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</si>
  <si>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</si>
  <si>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</si>
  <si>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</si>
  <si>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</si>
  <si>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</si>
  <si>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</si>
  <si>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</si>
  <si>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</si>
  <si>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</si>
  <si>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</si>
  <si>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</si>
  <si>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</si>
  <si>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</si>
  <si>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</si>
  <si>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</si>
  <si>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</si>
  <si>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</si>
  <si>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</si>
  <si>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</si>
  <si>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</si>
  <si>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</si>
  <si>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</si>
  <si>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</si>
  <si>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</si>
  <si>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</si>
  <si>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</si>
  <si>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</si>
  <si>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</si>
  <si>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</si>
  <si>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</si>
  <si>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</si>
  <si>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</si>
  <si>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</si>
  <si>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</si>
  <si>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</si>
  <si>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</si>
  <si>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</si>
  <si>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</si>
  <si>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</si>
  <si>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</si>
  <si>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</si>
  <si>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</si>
  <si>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</si>
  <si>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</si>
  <si>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</si>
  <si>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</si>
  <si>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</si>
  <si>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</si>
  <si>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</si>
  <si>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</si>
  <si>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</si>
  <si>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</si>
  <si>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</si>
  <si>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</si>
  <si>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</si>
  <si>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</si>
  <si>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</si>
  <si>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</si>
  <si>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</si>
  <si>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</si>
  <si>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</si>
  <si>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</si>
  <si>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</si>
  <si>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</si>
  <si>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</si>
  <si>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</si>
  <si>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</si>
  <si>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</si>
  <si>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</si>
  <si>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</si>
  <si>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</si>
  <si>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</si>
  <si>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</si>
  <si>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</si>
  <si>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</si>
  <si>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</si>
  <si>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</si>
  <si>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</si>
  <si>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</si>
  <si>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</si>
  <si>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</si>
  <si>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</si>
  <si>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</si>
  <si>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</si>
  <si>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</si>
  <si>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</si>
  <si>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</si>
  <si>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</si>
  <si>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</si>
  <si>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</si>
  <si>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</si>
  <si>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</si>
  <si>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</si>
  <si>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</si>
  <si>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</si>
  <si>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</si>
  <si>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</si>
  <si>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</si>
  <si>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</si>
  <si>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</si>
  <si>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</si>
  <si>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</si>
  <si>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</si>
  <si>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</si>
  <si>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</si>
  <si>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</si>
  <si>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</si>
  <si>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</si>
  <si>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</si>
  <si>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</si>
  <si>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</si>
  <si>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</si>
  <si>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</si>
  <si>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</si>
  <si>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</si>
  <si>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</si>
  <si>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</si>
  <si>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</si>
  <si>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</si>
  <si>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</si>
  <si>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</si>
  <si>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</si>
  <si>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</si>
  <si>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</si>
  <si>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</si>
  <si>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</si>
  <si>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</si>
  <si>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</si>
  <si>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</si>
  <si>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</si>
  <si>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</si>
  <si>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</si>
  <si>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</si>
  <si>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</si>
  <si>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</si>
  <si>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</si>
  <si>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</si>
  <si>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</si>
  <si>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</si>
  <si>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</si>
  <si>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</si>
  <si>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</si>
  <si>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</si>
  <si>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</si>
  <si>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</si>
  <si>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</si>
  <si>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</si>
  <si>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</si>
  <si>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</si>
  <si>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</si>
  <si>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</si>
  <si>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</si>
  <si>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</si>
  <si>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</si>
  <si>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</si>
  <si>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</si>
  <si>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</si>
  <si>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</si>
  <si>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</si>
  <si>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</si>
  <si>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</si>
  <si>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</si>
  <si>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</si>
  <si>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</si>
  <si>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</si>
  <si>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</si>
  <si>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</si>
  <si>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</si>
  <si>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</si>
  <si>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</si>
  <si>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</si>
  <si>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</si>
  <si>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</si>
  <si>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</si>
  <si>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</si>
  <si>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</si>
  <si>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</si>
  <si>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</si>
  <si>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</si>
  <si>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</si>
  <si>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</si>
  <si>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</si>
  <si>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</si>
  <si>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</si>
  <si>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</si>
  <si>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</si>
  <si>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</si>
  <si>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</si>
  <si>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</si>
  <si>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</si>
  <si>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</si>
  <si>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</si>
  <si>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</si>
  <si>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</si>
  <si>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</si>
  <si>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</si>
  <si>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</si>
  <si>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</si>
  <si>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</si>
  <si>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</si>
  <si>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</si>
  <si>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</si>
  <si>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</si>
  <si>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</si>
  <si>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</si>
  <si>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</si>
  <si>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</si>
  <si>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</si>
  <si>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</si>
  <si>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</si>
  <si>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</si>
  <si>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</si>
  <si>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</si>
  <si>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</si>
  <si>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</si>
  <si>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</si>
  <si>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</si>
  <si>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</si>
  <si>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</si>
  <si>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</si>
  <si>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</si>
  <si>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</si>
  <si>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</si>
  <si>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</si>
  <si>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</si>
  <si>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</si>
  <si>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</si>
  <si>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</si>
  <si>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</si>
  <si>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</si>
  <si>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</si>
  <si>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</si>
  <si>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</si>
  <si>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</si>
  <si>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</si>
  <si>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</si>
  <si>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</si>
  <si>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</si>
  <si>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</si>
  <si>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</si>
  <si>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</si>
  <si>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</si>
  <si>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</si>
  <si>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</si>
  <si>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</si>
  <si>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</si>
  <si>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</si>
  <si>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</si>
  <si>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</si>
  <si>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</si>
  <si>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</si>
  <si>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</si>
  <si>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</si>
  <si>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</si>
  <si>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</si>
  <si>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</si>
  <si>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</si>
  <si>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</si>
  <si>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</si>
  <si>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</si>
  <si>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</si>
  <si>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</si>
  <si>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</si>
  <si>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</si>
  <si>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</si>
  <si>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</si>
  <si>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</si>
  <si>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</si>
  <si>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</si>
  <si>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</si>
  <si>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</si>
  <si>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</si>
  <si>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</si>
  <si>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</si>
  <si>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</si>
  <si>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</si>
  <si>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</si>
  <si>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</si>
  <si>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</si>
  <si>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</si>
  <si>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</si>
  <si>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</si>
  <si>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</si>
  <si>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</si>
  <si>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</si>
  <si>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</si>
  <si>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</si>
  <si>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</si>
  <si>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</si>
  <si>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</si>
  <si>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</si>
  <si>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</si>
  <si>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</si>
  <si>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</si>
  <si>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</si>
  <si>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</si>
  <si>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</si>
  <si>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</si>
  <si>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</si>
  <si>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</si>
  <si>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</si>
  <si>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</si>
  <si>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</si>
  <si>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</si>
  <si>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</si>
  <si>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</si>
  <si>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</si>
  <si>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</si>
  <si>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</si>
  <si>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</si>
  <si>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</si>
  <si>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</si>
  <si>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</si>
  <si>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</si>
  <si>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</si>
  <si>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</si>
  <si>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</si>
  <si>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</si>
  <si>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</si>
  <si>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</si>
  <si>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</si>
  <si>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</si>
  <si>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</si>
  <si>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</si>
  <si>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</si>
  <si>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</si>
  <si>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</si>
  <si>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</si>
  <si>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</si>
  <si>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</si>
  <si>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</si>
  <si>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</si>
  <si>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</si>
  <si>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</si>
  <si>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</si>
  <si>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</si>
  <si>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</si>
  <si>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</si>
  <si>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</si>
  <si>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</si>
  <si>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</si>
  <si>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</si>
  <si>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</si>
  <si>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</si>
  <si>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</si>
  <si>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</si>
  <si>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</si>
  <si>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</si>
  <si>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</si>
  <si>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</si>
  <si>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</si>
  <si>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</si>
  <si>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</si>
  <si>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</si>
  <si>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</si>
  <si>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</si>
  <si>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</si>
  <si>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</si>
  <si>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</si>
  <si>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</si>
  <si>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</si>
  <si>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</si>
  <si>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</si>
  <si>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</si>
  <si>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</si>
  <si>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</si>
  <si>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</si>
  <si>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</si>
  <si>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</si>
  <si>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</si>
  <si>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</si>
  <si>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</si>
  <si>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</si>
  <si>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</si>
  <si>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</si>
  <si>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</si>
  <si>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</si>
  <si>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</si>
  <si>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</si>
  <si>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</si>
  <si>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</si>
  <si>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</si>
  <si>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</si>
  <si>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</si>
  <si>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</si>
  <si>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</si>
  <si>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</si>
  <si>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</si>
  <si>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</si>
  <si>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</si>
  <si>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</si>
  <si>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</si>
  <si>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</si>
  <si>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</si>
  <si>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</si>
  <si>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</si>
  <si>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</si>
  <si>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</si>
  <si>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</si>
  <si>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</si>
  <si>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</si>
  <si>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</si>
  <si>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</si>
  <si>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</si>
  <si>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</si>
  <si>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</si>
  <si>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</si>
  <si>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</si>
  <si>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</si>
  <si>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</si>
  <si>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</si>
  <si>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</si>
  <si>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</si>
  <si>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</si>
  <si>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</si>
  <si>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</si>
  <si>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</si>
  <si>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</si>
  <si>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</si>
  <si>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</si>
  <si>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</si>
  <si>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</si>
  <si>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</si>
  <si>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</si>
  <si>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</si>
  <si>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</si>
  <si>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</si>
  <si>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</si>
  <si>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</si>
  <si>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</si>
  <si>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</si>
  <si>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</si>
  <si>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</si>
  <si>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</si>
  <si>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</si>
  <si>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</si>
  <si>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</si>
  <si>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</si>
  <si>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</si>
  <si>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</si>
  <si>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</si>
  <si>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</si>
  <si>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</si>
  <si>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</si>
  <si>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</si>
  <si>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</si>
  <si>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</si>
  <si>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</si>
  <si>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</si>
  <si>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</si>
  <si>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</si>
  <si>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</si>
  <si>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</si>
  <si>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</si>
  <si>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</si>
  <si>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</si>
  <si>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</si>
  <si>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</si>
  <si>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</si>
  <si>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</si>
  <si>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</si>
  <si>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</si>
  <si>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</si>
  <si>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</si>
  <si>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</si>
  <si>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</si>
  <si>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</si>
  <si>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</si>
  <si>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</si>
  <si>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</si>
  <si>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</si>
  <si>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</si>
  <si>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</si>
  <si>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</si>
  <si>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</si>
  <si>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</si>
  <si>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</si>
  <si>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</si>
  <si>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</si>
  <si>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</si>
  <si>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</si>
  <si>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</si>
  <si>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</si>
  <si>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</si>
  <si>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</si>
  <si>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</si>
  <si>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</si>
  <si>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</si>
  <si>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</si>
  <si>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</si>
  <si>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</si>
  <si>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</si>
  <si>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</si>
  <si>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</si>
  <si>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</si>
  <si>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</si>
  <si>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</si>
  <si>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</si>
  <si>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</si>
  <si>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</si>
  <si>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</si>
  <si>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</si>
  <si>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</si>
  <si>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</si>
  <si>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</si>
  <si>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</si>
  <si>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</si>
  <si>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</si>
  <si>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</si>
  <si>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</si>
  <si>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</si>
  <si>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</si>
  <si>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</si>
  <si>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</si>
  <si>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</si>
  <si>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</si>
  <si>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</si>
  <si>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</si>
  <si>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</si>
  <si>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</si>
  <si>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</si>
  <si>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</si>
  <si>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</si>
  <si>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</si>
  <si>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</si>
  <si>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</si>
  <si>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</si>
  <si>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</si>
  <si>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</si>
  <si>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</si>
  <si>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</si>
  <si>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</si>
  <si>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</si>
  <si>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</si>
  <si>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</si>
  <si>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</si>
  <si>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</si>
  <si>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</si>
  <si>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</si>
  <si>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</si>
  <si>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</si>
  <si>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</si>
  <si>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</si>
  <si>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</si>
  <si>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</si>
  <si>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</si>
  <si>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</si>
  <si>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</si>
  <si>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</si>
  <si>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</si>
  <si>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</si>
  <si>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</si>
  <si>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</si>
  <si>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</si>
  <si>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</si>
  <si>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</si>
  <si>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</si>
  <si>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</si>
  <si>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</si>
  <si>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</si>
  <si>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</si>
  <si>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</si>
  <si>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</si>
  <si>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</si>
  <si>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</si>
  <si>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</si>
  <si>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</si>
  <si>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</si>
  <si>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</si>
  <si>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</si>
  <si>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</si>
  <si>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</si>
  <si>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</si>
  <si>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</si>
  <si>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</si>
  <si>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</si>
  <si>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</si>
  <si>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</si>
  <si>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</si>
  <si>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</si>
  <si>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</si>
  <si>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</si>
  <si>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</si>
  <si>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</si>
  <si>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</si>
  <si>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</si>
  <si>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</si>
  <si>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</si>
  <si>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</si>
  <si>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</si>
  <si>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</si>
  <si>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</si>
  <si>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</si>
  <si>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</si>
  <si>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</si>
  <si>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</si>
  <si>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</si>
  <si>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</si>
  <si>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</si>
  <si>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</si>
  <si>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</si>
  <si>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</si>
  <si>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</si>
  <si>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</si>
  <si>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</si>
  <si>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</si>
  <si>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</si>
  <si>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</si>
  <si>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</si>
  <si>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</si>
  <si>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</si>
  <si>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</si>
  <si>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</si>
  <si>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</si>
  <si>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</si>
  <si>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</si>
  <si>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</si>
  <si>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</si>
  <si>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</si>
  <si>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</si>
  <si>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</si>
  <si>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</si>
  <si>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</si>
  <si>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</si>
  <si>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</si>
  <si>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</si>
  <si>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</si>
  <si>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</si>
  <si>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</si>
  <si>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</si>
  <si>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</si>
  <si>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</si>
  <si>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</si>
  <si>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</si>
  <si>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</si>
  <si>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</si>
  <si>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</si>
  <si>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</si>
  <si>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</si>
  <si>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</si>
  <si>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</si>
  <si>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</si>
  <si>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</si>
  <si>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</si>
  <si>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</si>
  <si>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</si>
  <si>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</si>
  <si>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</si>
  <si>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</si>
  <si>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</si>
  <si>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</si>
  <si>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</si>
  <si>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</si>
  <si>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</si>
  <si>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</si>
  <si>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</si>
  <si>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</si>
  <si>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</si>
  <si>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</si>
  <si>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</si>
  <si>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</si>
  <si>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</si>
  <si>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</si>
  <si>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</si>
  <si>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</si>
  <si>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</si>
  <si>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</si>
  <si>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</si>
  <si>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</si>
  <si>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</si>
  <si>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</si>
  <si>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</si>
  <si>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</si>
  <si>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</si>
  <si>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</si>
  <si>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</si>
  <si>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</si>
  <si>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</si>
  <si>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</si>
  <si>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</si>
  <si>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</si>
  <si>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</si>
  <si>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</si>
  <si>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</si>
  <si>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</si>
  <si>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</si>
  <si>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</si>
  <si>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</si>
  <si>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</si>
  <si>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</si>
  <si>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</si>
  <si>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</si>
  <si>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</si>
  <si>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</si>
  <si>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</si>
  <si>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</si>
  <si>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</si>
  <si>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</si>
  <si>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</si>
  <si>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</si>
  <si>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</si>
  <si>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</si>
  <si>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</si>
  <si>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</si>
  <si>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</si>
  <si>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</si>
  <si>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</si>
  <si>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</si>
  <si>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</si>
  <si>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</si>
  <si>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</si>
  <si>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</si>
  <si>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</si>
  <si>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</si>
  <si>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</si>
  <si>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</si>
  <si>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</si>
  <si>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</si>
  <si>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</si>
  <si>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</si>
  <si>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</si>
  <si>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</si>
  <si>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</si>
  <si>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</si>
  <si>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</si>
  <si>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</si>
  <si>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</si>
  <si>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</si>
  <si>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</si>
  <si>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</si>
  <si>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</si>
  <si>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</si>
  <si>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</si>
  <si>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</si>
  <si>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</si>
  <si>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</si>
  <si>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</si>
  <si>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</si>
  <si>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</si>
  <si>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</si>
  <si>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</si>
  <si>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</si>
  <si>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</si>
  <si>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</si>
  <si>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</si>
  <si>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</si>
  <si>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</si>
  <si>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</si>
  <si>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</si>
  <si>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</si>
  <si>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</si>
  <si>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</si>
  <si>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</si>
  <si>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</si>
  <si>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</si>
  <si>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</si>
  <si>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</si>
  <si>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</si>
  <si>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</si>
  <si>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</si>
  <si>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</si>
  <si>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</si>
  <si>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</si>
  <si>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</si>
  <si>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</si>
  <si>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</si>
  <si>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</si>
  <si>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</si>
  <si>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</si>
  <si>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</si>
  <si>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</si>
  <si>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</si>
  <si>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</si>
  <si>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</si>
  <si>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</si>
  <si>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</si>
  <si>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</si>
  <si>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</si>
  <si>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</si>
  <si>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</si>
  <si>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</si>
  <si>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</si>
  <si>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</si>
  <si>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</si>
  <si>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</si>
  <si>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</si>
  <si>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</si>
  <si>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</si>
  <si>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</si>
  <si>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</si>
  <si>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</si>
  <si>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ABSA</t>
  </si>
  <si>
    <t>STANLB</t>
  </si>
  <si>
    <t>SANLAM</t>
  </si>
  <si>
    <t>STANDARD BANK</t>
  </si>
  <si>
    <t>1 Month</t>
  </si>
  <si>
    <t>Deposits - Bank (03)</t>
  </si>
  <si>
    <t>4 years</t>
  </si>
  <si>
    <t>Securities - National Government (01)</t>
  </si>
  <si>
    <t>7 Years</t>
  </si>
  <si>
    <t>15 yesrs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</si>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</sst>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 * #,##0.0_ ;_ * \-#,##0.0_ ;_ * &quot;-&quot;??_ ;_ @_ "/>
    <numFmt numFmtId="168" formatCode="#,###,;[Red]\(#,###,\)"/>
    <numFmt numFmtId="169" formatCode="0.0%"/>
    <numFmt numFmtId="170" formatCode="#,###,;\(#,###,\)"/>
    <numFmt numFmtId="171" formatCode="#,###,,;\(#,###,,\)"/>
    <numFmt numFmtId="172" formatCode="_(* #,##0,,_);_(* \(#,##0,,\);_(* &quot;–&quot;?_);_(@_)"/>
    <numFmt numFmtId="173" formatCode="_(* #,##0,_);_(* \(#,##0,\);_(* &quot;–&quot;?_);_(@_)"/>
    <numFmt numFmtId="174" formatCode="0%;\-0%;_(* &quot;–&quot;?_);_(@_)"/>
    <numFmt numFmtId="175" formatCode="m/d/yy;@"/>
    <numFmt numFmtId="176" formatCode="0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95" applyNumberFormat="0" applyAlignment="0" applyProtection="0"/>
    <xf numFmtId="0" fontId="57" fillId="60" borderId="9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61" borderId="0" applyNumberFormat="0" applyBorder="0" applyAlignment="0" applyProtection="0"/>
    <xf numFmtId="0" fontId="61" fillId="0" borderId="97" applyNumberFormat="0" applyFill="0" applyAlignment="0" applyProtection="0"/>
    <xf numFmtId="0" fontId="62" fillId="0" borderId="98" applyNumberFormat="0" applyFill="0" applyAlignment="0" applyProtection="0"/>
    <xf numFmtId="0" fontId="63" fillId="0" borderId="9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2" borderId="95" applyNumberFormat="0" applyAlignment="0" applyProtection="0"/>
    <xf numFmtId="0" fontId="66" fillId="0" borderId="100" applyNumberFormat="0" applyFill="0" applyAlignment="0" applyProtection="0"/>
    <xf numFmtId="0" fontId="67" fillId="63" borderId="0" applyNumberFormat="0" applyBorder="0" applyAlignment="0" applyProtection="0"/>
    <xf numFmtId="0" fontId="1" fillId="64" borderId="101" applyNumberFormat="0" applyFont="0" applyAlignment="0" applyProtection="0"/>
    <xf numFmtId="0" fontId="68" fillId="59" borderId="102" applyNumberFormat="0" applyAlignment="0" applyProtection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03" applyNumberFormat="0" applyFill="0" applyAlignment="0" applyProtection="0"/>
    <xf numFmtId="0" fontId="71" fillId="0" borderId="0" applyNumberFormat="0" applyFill="0" applyBorder="0" applyAlignment="0" applyProtection="0"/>
  </cellStyleXfs>
  <cellXfs count="1035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quotePrefix="1" applyFont="1" applyBorder="1"/>
    <xf numFmtId="0" fontId="5" fillId="0" borderId="0" xfId="0" quotePrefix="1" applyFont="1" applyBorder="1"/>
    <xf numFmtId="0" fontId="6" fillId="24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0" fillId="0" borderId="2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2" fontId="9" fillId="0" borderId="22" xfId="0" applyNumberFormat="1" applyFont="1" applyBorder="1"/>
    <xf numFmtId="172" fontId="9" fillId="0" borderId="23" xfId="0" applyNumberFormat="1" applyFont="1" applyBorder="1"/>
    <xf numFmtId="0" fontId="9" fillId="0" borderId="17" xfId="0" applyFont="1" applyBorder="1"/>
    <xf numFmtId="172" fontId="9" fillId="0" borderId="24" xfId="0" applyNumberFormat="1" applyFont="1" applyBorder="1"/>
    <xf numFmtId="0" fontId="13" fillId="0" borderId="0" xfId="0" applyFont="1" applyAlignment="1">
      <alignment horizontal="left"/>
    </xf>
    <xf numFmtId="0" fontId="10" fillId="0" borderId="16" xfId="0" applyFont="1" applyFill="1" applyBorder="1" applyAlignment="1">
      <alignment horizontal="left" vertical="center"/>
    </xf>
    <xf numFmtId="0" fontId="12" fillId="0" borderId="11" xfId="0" applyFont="1" applyBorder="1"/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 indent="1"/>
    </xf>
    <xf numFmtId="170" fontId="9" fillId="0" borderId="10" xfId="0" applyNumberFormat="1" applyFont="1" applyBorder="1"/>
    <xf numFmtId="0" fontId="10" fillId="0" borderId="11" xfId="0" applyFont="1" applyBorder="1" applyAlignment="1">
      <alignment horizontal="left"/>
    </xf>
    <xf numFmtId="0" fontId="9" fillId="0" borderId="11" xfId="0" applyFont="1" applyBorder="1"/>
    <xf numFmtId="173" fontId="9" fillId="0" borderId="0" xfId="0" applyNumberFormat="1" applyFont="1" applyBorder="1"/>
    <xf numFmtId="173" fontId="9" fillId="0" borderId="22" xfId="0" applyNumberFormat="1" applyFont="1" applyBorder="1"/>
    <xf numFmtId="173" fontId="9" fillId="0" borderId="13" xfId="0" applyNumberFormat="1" applyFont="1" applyBorder="1"/>
    <xf numFmtId="173" fontId="9" fillId="0" borderId="26" xfId="0" applyNumberFormat="1" applyFont="1" applyBorder="1"/>
    <xf numFmtId="173" fontId="9" fillId="0" borderId="22" xfId="0" applyNumberFormat="1" applyFont="1" applyFill="1" applyBorder="1"/>
    <xf numFmtId="170" fontId="9" fillId="0" borderId="13" xfId="0" applyNumberFormat="1" applyFont="1" applyFill="1" applyBorder="1"/>
    <xf numFmtId="173" fontId="10" fillId="0" borderId="0" xfId="0" applyNumberFormat="1" applyFont="1" applyBorder="1"/>
    <xf numFmtId="173" fontId="10" fillId="0" borderId="22" xfId="0" applyNumberFormat="1" applyFont="1" applyBorder="1"/>
    <xf numFmtId="173" fontId="10" fillId="0" borderId="26" xfId="0" applyNumberFormat="1" applyFont="1" applyBorder="1"/>
    <xf numFmtId="170" fontId="10" fillId="0" borderId="10" xfId="0" applyNumberFormat="1" applyFont="1" applyBorder="1"/>
    <xf numFmtId="0" fontId="10" fillId="0" borderId="27" xfId="0" applyFont="1" applyBorder="1"/>
    <xf numFmtId="173" fontId="10" fillId="0" borderId="28" xfId="0" applyNumberFormat="1" applyFont="1" applyBorder="1"/>
    <xf numFmtId="173" fontId="10" fillId="0" borderId="29" xfId="0" applyNumberFormat="1" applyFont="1" applyBorder="1"/>
    <xf numFmtId="173" fontId="10" fillId="0" borderId="30" xfId="0" applyNumberFormat="1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170" fontId="10" fillId="0" borderId="0" xfId="0" applyNumberFormat="1" applyFont="1" applyFill="1" applyBorder="1"/>
    <xf numFmtId="0" fontId="13" fillId="0" borderId="0" xfId="0" quotePrefix="1" applyFont="1" applyBorder="1"/>
    <xf numFmtId="0" fontId="10" fillId="0" borderId="0" xfId="0" applyFont="1" applyBorder="1"/>
    <xf numFmtId="170" fontId="10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66" fontId="9" fillId="0" borderId="0" xfId="28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166" fontId="9" fillId="0" borderId="0" xfId="28" applyNumberFormat="1" applyFont="1" applyAlignment="1">
      <alignment horizontal="center"/>
    </xf>
    <xf numFmtId="169" fontId="9" fillId="0" borderId="0" xfId="42" applyNumberFormat="1" applyFont="1" applyAlignment="1">
      <alignment horizontal="center"/>
    </xf>
    <xf numFmtId="166" fontId="9" fillId="0" borderId="0" xfId="0" applyNumberFormat="1" applyFont="1"/>
    <xf numFmtId="169" fontId="9" fillId="0" borderId="0" xfId="0" applyNumberFormat="1" applyFont="1"/>
    <xf numFmtId="173" fontId="10" fillId="0" borderId="31" xfId="0" applyNumberFormat="1" applyFont="1" applyBorder="1"/>
    <xf numFmtId="173" fontId="10" fillId="0" borderId="32" xfId="0" applyNumberFormat="1" applyFont="1" applyBorder="1"/>
    <xf numFmtId="169" fontId="9" fillId="0" borderId="0" xfId="0" applyNumberFormat="1" applyFont="1" applyAlignment="1">
      <alignment horizontal="center"/>
    </xf>
    <xf numFmtId="173" fontId="10" fillId="0" borderId="24" xfId="0" applyNumberFormat="1" applyFont="1" applyBorder="1"/>
    <xf numFmtId="173" fontId="10" fillId="0" borderId="33" xfId="0" applyNumberFormat="1" applyFont="1" applyBorder="1"/>
    <xf numFmtId="0" fontId="14" fillId="0" borderId="0" xfId="0" applyFont="1" applyBorder="1" applyAlignment="1">
      <alignment horizontal="left"/>
    </xf>
    <xf numFmtId="170" fontId="11" fillId="0" borderId="0" xfId="0" applyNumberFormat="1" applyFont="1" applyBorder="1"/>
    <xf numFmtId="0" fontId="13" fillId="0" borderId="0" xfId="0" applyFont="1" applyBorder="1"/>
    <xf numFmtId="0" fontId="13" fillId="0" borderId="11" xfId="0" applyFont="1" applyBorder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73" fontId="10" fillId="0" borderId="34" xfId="0" applyNumberFormat="1" applyFont="1" applyBorder="1"/>
    <xf numFmtId="170" fontId="9" fillId="0" borderId="0" xfId="0" applyNumberFormat="1" applyFont="1" applyBorder="1"/>
    <xf numFmtId="170" fontId="9" fillId="0" borderId="0" xfId="0" applyNumberFormat="1" applyFont="1"/>
    <xf numFmtId="0" fontId="9" fillId="0" borderId="11" xfId="0" applyFont="1" applyFill="1" applyBorder="1" applyAlignment="1">
      <alignment horizontal="left" indent="1"/>
    </xf>
    <xf numFmtId="0" fontId="10" fillId="0" borderId="11" xfId="0" applyFont="1" applyBorder="1"/>
    <xf numFmtId="0" fontId="10" fillId="0" borderId="11" xfId="0" applyFont="1" applyFill="1" applyBorder="1"/>
    <xf numFmtId="0" fontId="13" fillId="0" borderId="11" xfId="0" applyFont="1" applyBorder="1"/>
    <xf numFmtId="168" fontId="10" fillId="0" borderId="0" xfId="0" applyNumberFormat="1" applyFont="1" applyBorder="1"/>
    <xf numFmtId="0" fontId="9" fillId="0" borderId="16" xfId="0" applyFont="1" applyBorder="1"/>
    <xf numFmtId="0" fontId="10" fillId="0" borderId="35" xfId="0" applyFont="1" applyBorder="1"/>
    <xf numFmtId="165" fontId="9" fillId="0" borderId="0" xfId="28" applyFont="1" applyBorder="1"/>
    <xf numFmtId="0" fontId="10" fillId="0" borderId="16" xfId="0" applyFont="1" applyBorder="1"/>
    <xf numFmtId="0" fontId="14" fillId="0" borderId="0" xfId="0" applyFont="1"/>
    <xf numFmtId="0" fontId="9" fillId="0" borderId="0" xfId="0" applyFont="1" applyFill="1" applyBorder="1"/>
    <xf numFmtId="170" fontId="9" fillId="0" borderId="0" xfId="0" applyNumberFormat="1" applyFont="1" applyFill="1" applyBorder="1"/>
    <xf numFmtId="9" fontId="9" fillId="0" borderId="0" xfId="42" applyFont="1"/>
    <xf numFmtId="173" fontId="9" fillId="0" borderId="36" xfId="0" applyNumberFormat="1" applyFont="1" applyBorder="1"/>
    <xf numFmtId="0" fontId="9" fillId="0" borderId="0" xfId="0" applyFont="1" applyFill="1"/>
    <xf numFmtId="173" fontId="9" fillId="0" borderId="36" xfId="0" applyNumberFormat="1" applyFont="1" applyFill="1" applyBorder="1"/>
    <xf numFmtId="173" fontId="10" fillId="0" borderId="22" xfId="0" applyNumberFormat="1" applyFont="1" applyFill="1" applyBorder="1"/>
    <xf numFmtId="170" fontId="9" fillId="0" borderId="22" xfId="0" applyNumberFormat="1" applyFont="1" applyBorder="1"/>
    <xf numFmtId="170" fontId="9" fillId="0" borderId="26" xfId="0" applyNumberFormat="1" applyFont="1" applyBorder="1"/>
    <xf numFmtId="0" fontId="9" fillId="0" borderId="11" xfId="0" applyFont="1" applyFill="1" applyBorder="1"/>
    <xf numFmtId="0" fontId="10" fillId="0" borderId="11" xfId="0" applyFont="1" applyBorder="1" applyAlignment="1">
      <alignment horizontal="left" indent="1"/>
    </xf>
    <xf numFmtId="0" fontId="9" fillId="0" borderId="11" xfId="0" applyFont="1" applyBorder="1" applyAlignment="1">
      <alignment horizontal="left" indent="2"/>
    </xf>
    <xf numFmtId="173" fontId="9" fillId="0" borderId="37" xfId="0" applyNumberFormat="1" applyFont="1" applyBorder="1"/>
    <xf numFmtId="173" fontId="10" fillId="0" borderId="10" xfId="0" applyNumberFormat="1" applyFont="1" applyBorder="1"/>
    <xf numFmtId="173" fontId="10" fillId="0" borderId="37" xfId="0" applyNumberFormat="1" applyFont="1" applyBorder="1"/>
    <xf numFmtId="0" fontId="9" fillId="0" borderId="11" xfId="0" applyFont="1" applyBorder="1" applyAlignment="1">
      <alignment horizontal="left" wrapText="1" indent="1"/>
    </xf>
    <xf numFmtId="173" fontId="10" fillId="0" borderId="38" xfId="0" applyNumberFormat="1" applyFont="1" applyBorder="1"/>
    <xf numFmtId="0" fontId="10" fillId="0" borderId="27" xfId="0" applyFont="1" applyFill="1" applyBorder="1"/>
    <xf numFmtId="0" fontId="9" fillId="0" borderId="0" xfId="0" applyFont="1" applyFill="1" applyBorder="1" applyAlignment="1">
      <alignment horizontal="center"/>
    </xf>
    <xf numFmtId="173" fontId="9" fillId="0" borderId="24" xfId="0" applyNumberFormat="1" applyFont="1" applyBorder="1"/>
    <xf numFmtId="173" fontId="9" fillId="0" borderId="33" xfId="0" applyNumberFormat="1" applyFont="1" applyBorder="1"/>
    <xf numFmtId="170" fontId="9" fillId="0" borderId="0" xfId="28" applyNumberFormat="1" applyFont="1" applyBorder="1"/>
    <xf numFmtId="166" fontId="9" fillId="0" borderId="0" xfId="28" applyNumberFormat="1" applyFont="1" applyBorder="1"/>
    <xf numFmtId="0" fontId="9" fillId="0" borderId="19" xfId="0" applyFont="1" applyBorder="1" applyAlignment="1">
      <alignment horizontal="center"/>
    </xf>
    <xf numFmtId="169" fontId="9" fillId="0" borderId="10" xfId="42" applyNumberFormat="1" applyFont="1" applyFill="1" applyBorder="1" applyAlignment="1">
      <alignment horizontal="center" vertical="top" wrapText="1"/>
    </xf>
    <xf numFmtId="0" fontId="13" fillId="0" borderId="0" xfId="0" applyFont="1"/>
    <xf numFmtId="0" fontId="12" fillId="0" borderId="1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169" fontId="9" fillId="0" borderId="22" xfId="42" applyNumberFormat="1" applyFont="1" applyFill="1" applyBorder="1" applyAlignment="1">
      <alignment horizontal="center" vertical="top" wrapText="1"/>
    </xf>
    <xf numFmtId="169" fontId="9" fillId="0" borderId="0" xfId="42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indent="1"/>
    </xf>
    <xf numFmtId="0" fontId="9" fillId="0" borderId="3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9" fontId="9" fillId="0" borderId="24" xfId="42" applyFont="1" applyBorder="1" applyAlignment="1">
      <alignment horizontal="center"/>
    </xf>
    <xf numFmtId="173" fontId="9" fillId="0" borderId="10" xfId="0" applyNumberFormat="1" applyFont="1" applyBorder="1"/>
    <xf numFmtId="166" fontId="9" fillId="0" borderId="0" xfId="28" applyNumberFormat="1" applyFont="1" applyFill="1" applyBorder="1"/>
    <xf numFmtId="0" fontId="12" fillId="0" borderId="40" xfId="0" applyFont="1" applyBorder="1"/>
    <xf numFmtId="0" fontId="10" fillId="0" borderId="41" xfId="0" applyFont="1" applyFill="1" applyBorder="1" applyAlignment="1">
      <alignment horizontal="centerContinuous" vertical="center" wrapText="1"/>
    </xf>
    <xf numFmtId="0" fontId="10" fillId="0" borderId="20" xfId="0" applyFont="1" applyFill="1" applyBorder="1" applyAlignment="1">
      <alignment horizontal="centerContinuous" vertical="center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73" fontId="9" fillId="0" borderId="46" xfId="0" applyNumberFormat="1" applyFont="1" applyBorder="1"/>
    <xf numFmtId="173" fontId="10" fillId="0" borderId="47" xfId="0" applyNumberFormat="1" applyFont="1" applyBorder="1"/>
    <xf numFmtId="9" fontId="10" fillId="0" borderId="22" xfId="42" applyFont="1" applyBorder="1" applyAlignment="1">
      <alignment horizontal="center"/>
    </xf>
    <xf numFmtId="9" fontId="10" fillId="0" borderId="0" xfId="42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2" fillId="0" borderId="39" xfId="0" applyNumberFormat="1" applyFont="1" applyBorder="1"/>
    <xf numFmtId="0" fontId="9" fillId="0" borderId="10" xfId="0" applyNumberFormat="1" applyFont="1" applyBorder="1" applyAlignment="1">
      <alignment horizontal="left" indent="1"/>
    </xf>
    <xf numFmtId="0" fontId="10" fillId="0" borderId="10" xfId="0" applyNumberFormat="1" applyFont="1" applyBorder="1"/>
    <xf numFmtId="0" fontId="9" fillId="0" borderId="19" xfId="0" applyNumberFormat="1" applyFont="1" applyBorder="1"/>
    <xf numFmtId="0" fontId="12" fillId="0" borderId="10" xfId="0" applyNumberFormat="1" applyFont="1" applyBorder="1"/>
    <xf numFmtId="171" fontId="9" fillId="0" borderId="0" xfId="0" applyNumberFormat="1" applyFont="1"/>
    <xf numFmtId="0" fontId="9" fillId="0" borderId="19" xfId="0" applyFont="1" applyBorder="1"/>
    <xf numFmtId="0" fontId="10" fillId="0" borderId="4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3" fontId="9" fillId="0" borderId="38" xfId="0" applyNumberFormat="1" applyFont="1" applyBorder="1"/>
    <xf numFmtId="173" fontId="9" fillId="0" borderId="31" xfId="0" applyNumberFormat="1" applyFont="1" applyBorder="1"/>
    <xf numFmtId="0" fontId="8" fillId="0" borderId="0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10" xfId="0" applyFont="1" applyBorder="1"/>
    <xf numFmtId="0" fontId="10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9" fontId="10" fillId="0" borderId="10" xfId="42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/>
    </xf>
    <xf numFmtId="170" fontId="9" fillId="0" borderId="19" xfId="0" applyNumberFormat="1" applyFont="1" applyBorder="1"/>
    <xf numFmtId="0" fontId="9" fillId="0" borderId="19" xfId="0" applyFont="1" applyFill="1" applyBorder="1"/>
    <xf numFmtId="0" fontId="9" fillId="0" borderId="19" xfId="0" applyFont="1" applyBorder="1" applyAlignment="1">
      <alignment horizontal="left" vertical="top" wrapText="1"/>
    </xf>
    <xf numFmtId="0" fontId="9" fillId="0" borderId="39" xfId="0" applyFont="1" applyBorder="1"/>
    <xf numFmtId="0" fontId="12" fillId="0" borderId="39" xfId="0" applyFont="1" applyBorder="1"/>
    <xf numFmtId="170" fontId="10" fillId="0" borderId="10" xfId="0" applyNumberFormat="1" applyFont="1" applyFill="1" applyBorder="1"/>
    <xf numFmtId="0" fontId="12" fillId="0" borderId="15" xfId="0" applyFont="1" applyBorder="1"/>
    <xf numFmtId="0" fontId="9" fillId="0" borderId="0" xfId="0" applyFont="1" applyBorder="1" applyAlignment="1">
      <alignment horizontal="left"/>
    </xf>
    <xf numFmtId="0" fontId="9" fillId="0" borderId="13" xfId="0" applyFont="1" applyBorder="1"/>
    <xf numFmtId="0" fontId="9" fillId="0" borderId="11" xfId="0" applyFont="1" applyBorder="1" applyAlignment="1"/>
    <xf numFmtId="0" fontId="9" fillId="0" borderId="39" xfId="0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center" vertical="center" wrapText="1"/>
    </xf>
    <xf numFmtId="173" fontId="9" fillId="0" borderId="50" xfId="0" applyNumberFormat="1" applyFont="1" applyBorder="1"/>
    <xf numFmtId="0" fontId="9" fillId="0" borderId="26" xfId="0" applyFont="1" applyFill="1" applyBorder="1"/>
    <xf numFmtId="0" fontId="9" fillId="0" borderId="22" xfId="0" applyFont="1" applyFill="1" applyBorder="1"/>
    <xf numFmtId="0" fontId="9" fillId="0" borderId="46" xfId="0" applyFont="1" applyFill="1" applyBorder="1"/>
    <xf numFmtId="173" fontId="10" fillId="0" borderId="46" xfId="0" applyNumberFormat="1" applyFont="1" applyBorder="1"/>
    <xf numFmtId="173" fontId="9" fillId="0" borderId="51" xfId="0" applyNumberFormat="1" applyFont="1" applyBorder="1"/>
    <xf numFmtId="172" fontId="9" fillId="0" borderId="26" xfId="0" applyNumberFormat="1" applyFont="1" applyBorder="1"/>
    <xf numFmtId="172" fontId="9" fillId="0" borderId="10" xfId="0" applyNumberFormat="1" applyFont="1" applyBorder="1"/>
    <xf numFmtId="171" fontId="9" fillId="0" borderId="19" xfId="0" applyNumberFormat="1" applyFont="1" applyFill="1" applyBorder="1"/>
    <xf numFmtId="0" fontId="10" fillId="0" borderId="52" xfId="0" applyFont="1" applyFill="1" applyBorder="1" applyAlignment="1">
      <alignment horizontal="center" vertical="center" wrapText="1"/>
    </xf>
    <xf numFmtId="9" fontId="9" fillId="0" borderId="22" xfId="42" applyFont="1" applyFill="1" applyBorder="1" applyAlignment="1">
      <alignment horizontal="center"/>
    </xf>
    <xf numFmtId="172" fontId="9" fillId="0" borderId="46" xfId="0" applyNumberFormat="1" applyFont="1" applyBorder="1"/>
    <xf numFmtId="171" fontId="9" fillId="0" borderId="33" xfId="0" applyNumberFormat="1" applyFont="1" applyFill="1" applyBorder="1"/>
    <xf numFmtId="171" fontId="9" fillId="0" borderId="24" xfId="0" applyNumberFormat="1" applyFont="1" applyFill="1" applyBorder="1"/>
    <xf numFmtId="171" fontId="9" fillId="0" borderId="50" xfId="0" applyNumberFormat="1" applyFont="1" applyFill="1" applyBorder="1"/>
    <xf numFmtId="9" fontId="10" fillId="0" borderId="43" xfId="42" applyFont="1" applyFill="1" applyBorder="1" applyAlignment="1">
      <alignment horizontal="center" vertical="center" wrapText="1"/>
    </xf>
    <xf numFmtId="174" fontId="10" fillId="0" borderId="22" xfId="42" applyNumberFormat="1" applyFont="1" applyBorder="1"/>
    <xf numFmtId="174" fontId="9" fillId="0" borderId="22" xfId="42" applyNumberFormat="1" applyFont="1" applyBorder="1"/>
    <xf numFmtId="174" fontId="9" fillId="0" borderId="36" xfId="42" applyNumberFormat="1" applyFont="1" applyBorder="1"/>
    <xf numFmtId="172" fontId="9" fillId="0" borderId="19" xfId="0" applyNumberFormat="1" applyFont="1" applyBorder="1"/>
    <xf numFmtId="172" fontId="9" fillId="0" borderId="33" xfId="0" applyNumberFormat="1" applyFont="1" applyBorder="1"/>
    <xf numFmtId="174" fontId="9" fillId="0" borderId="24" xfId="42" applyNumberFormat="1" applyFont="1" applyBorder="1"/>
    <xf numFmtId="172" fontId="9" fillId="0" borderId="50" xfId="0" applyNumberFormat="1" applyFont="1" applyBorder="1"/>
    <xf numFmtId="172" fontId="9" fillId="0" borderId="39" xfId="0" applyNumberFormat="1" applyFont="1" applyBorder="1"/>
    <xf numFmtId="172" fontId="9" fillId="0" borderId="25" xfId="0" applyNumberFormat="1" applyFont="1" applyBorder="1"/>
    <xf numFmtId="174" fontId="9" fillId="0" borderId="23" xfId="42" applyNumberFormat="1" applyFont="1" applyBorder="1"/>
    <xf numFmtId="172" fontId="9" fillId="0" borderId="53" xfId="0" applyNumberFormat="1" applyFont="1" applyBorder="1"/>
    <xf numFmtId="172" fontId="9" fillId="25" borderId="22" xfId="0" applyNumberFormat="1" applyFont="1" applyFill="1" applyBorder="1"/>
    <xf numFmtId="172" fontId="9" fillId="25" borderId="24" xfId="0" applyNumberFormat="1" applyFont="1" applyFill="1" applyBorder="1"/>
    <xf numFmtId="174" fontId="9" fillId="25" borderId="22" xfId="42" applyNumberFormat="1" applyFont="1" applyFill="1" applyBorder="1"/>
    <xf numFmtId="174" fontId="9" fillId="25" borderId="24" xfId="42" applyNumberFormat="1" applyFont="1" applyFill="1" applyBorder="1"/>
    <xf numFmtId="0" fontId="13" fillId="0" borderId="0" xfId="0" applyFont="1" applyFill="1"/>
    <xf numFmtId="0" fontId="9" fillId="0" borderId="3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73" fontId="9" fillId="0" borderId="19" xfId="0" applyNumberFormat="1" applyFont="1" applyBorder="1"/>
    <xf numFmtId="0" fontId="10" fillId="0" borderId="53" xfId="0" applyFont="1" applyBorder="1" applyAlignment="1">
      <alignment horizontal="center"/>
    </xf>
    <xf numFmtId="9" fontId="10" fillId="0" borderId="22" xfId="42" applyFont="1" applyFill="1" applyBorder="1" applyAlignment="1">
      <alignment horizontal="center" vertical="center" wrapText="1"/>
    </xf>
    <xf numFmtId="0" fontId="9" fillId="0" borderId="26" xfId="0" applyFont="1" applyBorder="1"/>
    <xf numFmtId="0" fontId="10" fillId="0" borderId="21" xfId="0" applyFont="1" applyFill="1" applyBorder="1" applyAlignment="1">
      <alignment horizontal="centerContinuous" vertical="center" wrapText="1"/>
    </xf>
    <xf numFmtId="0" fontId="10" fillId="0" borderId="44" xfId="0" applyFont="1" applyFill="1" applyBorder="1" applyAlignment="1">
      <alignment horizontal="centerContinuous" vertical="center" wrapText="1"/>
    </xf>
    <xf numFmtId="0" fontId="10" fillId="0" borderId="48" xfId="0" applyFont="1" applyFill="1" applyBorder="1" applyAlignment="1">
      <alignment horizontal="centerContinuous" vertical="center" wrapText="1"/>
    </xf>
    <xf numFmtId="0" fontId="9" fillId="0" borderId="54" xfId="0" applyNumberFormat="1" applyFont="1" applyBorder="1" applyAlignment="1">
      <alignment horizontal="left" indent="1"/>
    </xf>
    <xf numFmtId="0" fontId="9" fillId="0" borderId="55" xfId="0" applyFont="1" applyBorder="1" applyAlignment="1">
      <alignment horizontal="center"/>
    </xf>
    <xf numFmtId="173" fontId="10" fillId="0" borderId="50" xfId="0" applyNumberFormat="1" applyFont="1" applyBorder="1"/>
    <xf numFmtId="173" fontId="10" fillId="0" borderId="56" xfId="0" applyNumberFormat="1" applyFont="1" applyBorder="1"/>
    <xf numFmtId="0" fontId="9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0" borderId="33" xfId="0" applyFont="1" applyBorder="1"/>
    <xf numFmtId="0" fontId="9" fillId="0" borderId="24" xfId="0" applyFont="1" applyBorder="1"/>
    <xf numFmtId="9" fontId="10" fillId="0" borderId="24" xfId="42" applyFont="1" applyFill="1" applyBorder="1" applyAlignment="1">
      <alignment horizontal="center" vertical="center"/>
    </xf>
    <xf numFmtId="173" fontId="10" fillId="0" borderId="55" xfId="0" applyNumberFormat="1" applyFont="1" applyBorder="1"/>
    <xf numFmtId="173" fontId="10" fillId="0" borderId="19" xfId="0" applyNumberFormat="1" applyFont="1" applyBorder="1"/>
    <xf numFmtId="0" fontId="10" fillId="0" borderId="57" xfId="0" applyFont="1" applyFill="1" applyBorder="1" applyAlignment="1">
      <alignment horizontal="centerContinuous" vertical="center" wrapText="1"/>
    </xf>
    <xf numFmtId="0" fontId="9" fillId="0" borderId="58" xfId="0" applyFont="1" applyBorder="1"/>
    <xf numFmtId="0" fontId="9" fillId="0" borderId="59" xfId="0" applyFont="1" applyBorder="1" applyAlignment="1">
      <alignment horizontal="left" indent="1"/>
    </xf>
    <xf numFmtId="0" fontId="9" fillId="0" borderId="54" xfId="0" applyFont="1" applyBorder="1" applyAlignment="1">
      <alignment horizontal="center"/>
    </xf>
    <xf numFmtId="173" fontId="9" fillId="0" borderId="54" xfId="0" applyNumberFormat="1" applyFont="1" applyBorder="1"/>
    <xf numFmtId="0" fontId="10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173" fontId="10" fillId="0" borderId="10" xfId="0" applyNumberFormat="1" applyFont="1" applyBorder="1" applyAlignment="1">
      <alignment vertical="top"/>
    </xf>
    <xf numFmtId="173" fontId="10" fillId="0" borderId="26" xfId="0" applyNumberFormat="1" applyFont="1" applyBorder="1" applyAlignment="1">
      <alignment vertical="top"/>
    </xf>
    <xf numFmtId="173" fontId="10" fillId="0" borderId="22" xfId="0" applyNumberFormat="1" applyFont="1" applyBorder="1" applyAlignment="1">
      <alignment vertical="top"/>
    </xf>
    <xf numFmtId="173" fontId="10" fillId="0" borderId="46" xfId="0" applyNumberFormat="1" applyFont="1" applyBorder="1" applyAlignment="1">
      <alignment vertical="top"/>
    </xf>
    <xf numFmtId="0" fontId="9" fillId="0" borderId="59" xfId="0" applyFont="1" applyBorder="1" applyAlignment="1">
      <alignment horizontal="left" wrapText="1" indent="1"/>
    </xf>
    <xf numFmtId="0" fontId="10" fillId="0" borderId="60" xfId="0" applyFont="1" applyFill="1" applyBorder="1" applyAlignment="1">
      <alignment horizontal="center" vertical="center" wrapText="1"/>
    </xf>
    <xf numFmtId="173" fontId="9" fillId="0" borderId="45" xfId="0" applyNumberFormat="1" applyFont="1" applyBorder="1"/>
    <xf numFmtId="173" fontId="10" fillId="0" borderId="45" xfId="0" applyNumberFormat="1" applyFont="1" applyBorder="1"/>
    <xf numFmtId="173" fontId="10" fillId="0" borderId="61" xfId="0" applyNumberFormat="1" applyFont="1" applyBorder="1"/>
    <xf numFmtId="173" fontId="9" fillId="0" borderId="55" xfId="0" applyNumberFormat="1" applyFont="1" applyBorder="1"/>
    <xf numFmtId="173" fontId="9" fillId="0" borderId="61" xfId="0" applyNumberFormat="1" applyFont="1" applyBorder="1"/>
    <xf numFmtId="173" fontId="9" fillId="0" borderId="47" xfId="0" applyNumberFormat="1" applyFont="1" applyBorder="1"/>
    <xf numFmtId="173" fontId="9" fillId="0" borderId="62" xfId="0" applyNumberFormat="1" applyFont="1" applyBorder="1"/>
    <xf numFmtId="173" fontId="10" fillId="0" borderId="58" xfId="0" applyNumberFormat="1" applyFont="1" applyBorder="1"/>
    <xf numFmtId="170" fontId="9" fillId="0" borderId="46" xfId="0" applyNumberFormat="1" applyFont="1" applyBorder="1"/>
    <xf numFmtId="0" fontId="10" fillId="0" borderId="63" xfId="0" applyFont="1" applyBorder="1" applyAlignment="1">
      <alignment horizontal="center"/>
    </xf>
    <xf numFmtId="170" fontId="9" fillId="0" borderId="45" xfId="0" applyNumberFormat="1" applyFont="1" applyBorder="1"/>
    <xf numFmtId="0" fontId="10" fillId="0" borderId="39" xfId="0" applyFont="1" applyFill="1" applyBorder="1" applyAlignment="1">
      <alignment horizontal="centerContinuous" vertical="center" wrapText="1"/>
    </xf>
    <xf numFmtId="0" fontId="10" fillId="0" borderId="15" xfId="0" applyFont="1" applyFill="1" applyBorder="1" applyAlignment="1">
      <alignment horizontal="center" vertical="center" wrapText="1"/>
    </xf>
    <xf numFmtId="173" fontId="10" fillId="0" borderId="64" xfId="0" applyNumberFormat="1" applyFont="1" applyBorder="1"/>
    <xf numFmtId="0" fontId="10" fillId="0" borderId="15" xfId="0" applyFont="1" applyBorder="1"/>
    <xf numFmtId="173" fontId="9" fillId="25" borderId="22" xfId="0" applyNumberFormat="1" applyFont="1" applyFill="1" applyBorder="1"/>
    <xf numFmtId="173" fontId="9" fillId="25" borderId="24" xfId="0" applyNumberFormat="1" applyFont="1" applyFill="1" applyBorder="1"/>
    <xf numFmtId="0" fontId="10" fillId="0" borderId="65" xfId="0" applyFont="1" applyFill="1" applyBorder="1" applyAlignment="1">
      <alignment horizontal="centerContinuous" vertical="center" wrapText="1"/>
    </xf>
    <xf numFmtId="169" fontId="9" fillId="0" borderId="46" xfId="42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 indent="1"/>
    </xf>
    <xf numFmtId="9" fontId="9" fillId="0" borderId="63" xfId="0" applyNumberFormat="1" applyFont="1" applyBorder="1" applyAlignment="1">
      <alignment horizontal="center" vertical="top"/>
    </xf>
    <xf numFmtId="9" fontId="9" fillId="0" borderId="23" xfId="0" applyNumberFormat="1" applyFont="1" applyBorder="1" applyAlignment="1">
      <alignment horizontal="center" vertical="top"/>
    </xf>
    <xf numFmtId="9" fontId="9" fillId="0" borderId="53" xfId="0" applyNumberFormat="1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169" fontId="9" fillId="0" borderId="45" xfId="42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38" xfId="0" applyFont="1" applyBorder="1" applyAlignment="1">
      <alignment horizontal="center"/>
    </xf>
    <xf numFmtId="0" fontId="9" fillId="0" borderId="46" xfId="0" applyFont="1" applyBorder="1"/>
    <xf numFmtId="0" fontId="9" fillId="0" borderId="37" xfId="0" applyFont="1" applyBorder="1"/>
    <xf numFmtId="0" fontId="9" fillId="0" borderId="45" xfId="0" applyFont="1" applyBorder="1"/>
    <xf numFmtId="171" fontId="9" fillId="0" borderId="0" xfId="0" applyNumberFormat="1" applyFont="1" applyFill="1" applyBorder="1"/>
    <xf numFmtId="174" fontId="9" fillId="0" borderId="0" xfId="42" applyNumberFormat="1" applyFont="1" applyBorder="1"/>
    <xf numFmtId="173" fontId="10" fillId="25" borderId="29" xfId="0" applyNumberFormat="1" applyFont="1" applyFill="1" applyBorder="1"/>
    <xf numFmtId="169" fontId="10" fillId="0" borderId="29" xfId="42" applyNumberFormat="1" applyFont="1" applyFill="1" applyBorder="1" applyAlignment="1">
      <alignment horizontal="center" vertical="top" wrapText="1"/>
    </xf>
    <xf numFmtId="0" fontId="10" fillId="0" borderId="59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66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9" fontId="10" fillId="0" borderId="36" xfId="42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62" xfId="0" applyFont="1" applyBorder="1"/>
    <xf numFmtId="173" fontId="9" fillId="0" borderId="58" xfId="0" applyNumberFormat="1" applyFont="1" applyBorder="1"/>
    <xf numFmtId="170" fontId="10" fillId="0" borderId="26" xfId="0" applyNumberFormat="1" applyFont="1" applyBorder="1"/>
    <xf numFmtId="170" fontId="10" fillId="0" borderId="22" xfId="0" applyNumberFormat="1" applyFont="1" applyBorder="1"/>
    <xf numFmtId="170" fontId="10" fillId="0" borderId="46" xfId="0" applyNumberFormat="1" applyFont="1" applyBorder="1"/>
    <xf numFmtId="169" fontId="10" fillId="0" borderId="22" xfId="42" applyNumberFormat="1" applyFont="1" applyFill="1" applyBorder="1" applyAlignment="1">
      <alignment horizontal="center" vertical="top" wrapText="1"/>
    </xf>
    <xf numFmtId="169" fontId="10" fillId="0" borderId="31" xfId="42" applyNumberFormat="1" applyFont="1" applyFill="1" applyBorder="1" applyAlignment="1">
      <alignment horizontal="center" vertical="top" wrapText="1"/>
    </xf>
    <xf numFmtId="173" fontId="9" fillId="0" borderId="30" xfId="0" applyNumberFormat="1" applyFont="1" applyBorder="1"/>
    <xf numFmtId="173" fontId="9" fillId="0" borderId="29" xfId="0" applyNumberFormat="1" applyFont="1" applyBorder="1"/>
    <xf numFmtId="169" fontId="9" fillId="0" borderId="29" xfId="42" applyNumberFormat="1" applyFont="1" applyFill="1" applyBorder="1" applyAlignment="1">
      <alignment horizontal="center" vertical="top" wrapText="1"/>
    </xf>
    <xf numFmtId="173" fontId="9" fillId="0" borderId="56" xfId="0" applyNumberFormat="1" applyFont="1" applyBorder="1"/>
    <xf numFmtId="0" fontId="9" fillId="0" borderId="67" xfId="0" applyFont="1" applyBorder="1" applyAlignment="1">
      <alignment horizontal="center"/>
    </xf>
    <xf numFmtId="9" fontId="10" fillId="0" borderId="26" xfId="42" applyFont="1" applyBorder="1" applyAlignment="1">
      <alignment horizontal="center"/>
    </xf>
    <xf numFmtId="9" fontId="10" fillId="0" borderId="46" xfId="42" applyFont="1" applyBorder="1" applyAlignment="1">
      <alignment horizontal="center"/>
    </xf>
    <xf numFmtId="169" fontId="10" fillId="0" borderId="46" xfId="42" applyNumberFormat="1" applyFont="1" applyFill="1" applyBorder="1" applyAlignment="1">
      <alignment horizontal="center" vertical="top" wrapText="1"/>
    </xf>
    <xf numFmtId="0" fontId="10" fillId="0" borderId="68" xfId="0" applyFont="1" applyBorder="1"/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/>
    </xf>
    <xf numFmtId="173" fontId="9" fillId="0" borderId="69" xfId="0" applyNumberFormat="1" applyFont="1" applyBorder="1"/>
    <xf numFmtId="0" fontId="10" fillId="0" borderId="35" xfId="0" applyFont="1" applyFill="1" applyBorder="1"/>
    <xf numFmtId="170" fontId="10" fillId="0" borderId="55" xfId="0" applyNumberFormat="1" applyFont="1" applyBorder="1"/>
    <xf numFmtId="173" fontId="10" fillId="0" borderId="70" xfId="0" applyNumberFormat="1" applyFont="1" applyBorder="1"/>
    <xf numFmtId="0" fontId="9" fillId="0" borderId="16" xfId="0" applyFont="1" applyFill="1" applyBorder="1" applyAlignment="1">
      <alignment horizontal="left" indent="1"/>
    </xf>
    <xf numFmtId="0" fontId="13" fillId="0" borderId="11" xfId="0" quotePrefix="1" applyFont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169" fontId="9" fillId="0" borderId="36" xfId="42" applyNumberFormat="1" applyFont="1" applyFill="1" applyBorder="1" applyAlignment="1">
      <alignment horizontal="center" vertical="top" wrapText="1"/>
    </xf>
    <xf numFmtId="170" fontId="9" fillId="0" borderId="0" xfId="28" applyNumberFormat="1" applyFont="1" applyFill="1" applyBorder="1"/>
    <xf numFmtId="0" fontId="10" fillId="0" borderId="67" xfId="0" applyFont="1" applyFill="1" applyBorder="1" applyAlignment="1">
      <alignment horizontal="center" vertical="center" wrapText="1"/>
    </xf>
    <xf numFmtId="173" fontId="10" fillId="25" borderId="22" xfId="0" applyNumberFormat="1" applyFont="1" applyFill="1" applyBorder="1"/>
    <xf numFmtId="173" fontId="9" fillId="25" borderId="36" xfId="0" applyNumberFormat="1" applyFont="1" applyFill="1" applyBorder="1"/>
    <xf numFmtId="173" fontId="10" fillId="25" borderId="22" xfId="0" applyNumberFormat="1" applyFont="1" applyFill="1" applyBorder="1" applyAlignment="1">
      <alignment vertical="top"/>
    </xf>
    <xf numFmtId="9" fontId="9" fillId="0" borderId="22" xfId="42" applyFont="1" applyBorder="1" applyAlignment="1">
      <alignment horizontal="center"/>
    </xf>
    <xf numFmtId="9" fontId="10" fillId="0" borderId="31" xfId="42" applyFont="1" applyBorder="1" applyAlignment="1">
      <alignment horizontal="center"/>
    </xf>
    <xf numFmtId="9" fontId="10" fillId="0" borderId="29" xfId="42" applyFont="1" applyBorder="1" applyAlignment="1">
      <alignment horizontal="center"/>
    </xf>
    <xf numFmtId="9" fontId="10" fillId="0" borderId="24" xfId="42" applyFont="1" applyBorder="1" applyAlignment="1">
      <alignment horizontal="center"/>
    </xf>
    <xf numFmtId="173" fontId="10" fillId="25" borderId="24" xfId="0" applyNumberFormat="1" applyFont="1" applyFill="1" applyBorder="1"/>
    <xf numFmtId="9" fontId="9" fillId="0" borderId="36" xfId="42" applyFont="1" applyBorder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15" fillId="0" borderId="15" xfId="0" applyFont="1" applyBorder="1"/>
    <xf numFmtId="0" fontId="9" fillId="0" borderId="65" xfId="0" applyFont="1" applyBorder="1"/>
    <xf numFmtId="170" fontId="9" fillId="0" borderId="13" xfId="28" applyNumberFormat="1" applyFont="1" applyFill="1" applyBorder="1"/>
    <xf numFmtId="2" fontId="9" fillId="0" borderId="0" xfId="0" applyNumberFormat="1" applyFont="1"/>
    <xf numFmtId="0" fontId="10" fillId="0" borderId="11" xfId="0" quotePrefix="1" applyFont="1" applyBorder="1" applyAlignment="1">
      <alignment horizontal="left" indent="1"/>
    </xf>
    <xf numFmtId="169" fontId="10" fillId="0" borderId="22" xfId="42" applyNumberFormat="1" applyFont="1" applyFill="1" applyBorder="1" applyAlignment="1">
      <alignment horizontal="center" wrapText="1"/>
    </xf>
    <xf numFmtId="9" fontId="10" fillId="0" borderId="22" xfId="42" applyFont="1" applyFill="1" applyBorder="1" applyAlignment="1">
      <alignment horizontal="center" vertical="top" wrapText="1"/>
    </xf>
    <xf numFmtId="0" fontId="12" fillId="0" borderId="10" xfId="0" applyFont="1" applyFill="1" applyBorder="1"/>
    <xf numFmtId="0" fontId="8" fillId="0" borderId="14" xfId="0" applyFont="1" applyFill="1" applyBorder="1" applyAlignment="1"/>
    <xf numFmtId="0" fontId="10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horizontal="left" wrapText="1" indent="1"/>
    </xf>
    <xf numFmtId="0" fontId="10" fillId="0" borderId="19" xfId="0" applyNumberFormat="1" applyFont="1" applyBorder="1"/>
    <xf numFmtId="0" fontId="10" fillId="0" borderId="59" xfId="0" applyFont="1" applyBorder="1"/>
    <xf numFmtId="9" fontId="10" fillId="0" borderId="54" xfId="42" applyFont="1" applyBorder="1" applyAlignment="1">
      <alignment horizontal="center"/>
    </xf>
    <xf numFmtId="9" fontId="10" fillId="0" borderId="66" xfId="42" applyFont="1" applyBorder="1" applyAlignment="1">
      <alignment horizontal="center"/>
    </xf>
    <xf numFmtId="9" fontId="10" fillId="0" borderId="36" xfId="42" applyFont="1" applyBorder="1" applyAlignment="1">
      <alignment horizontal="center"/>
    </xf>
    <xf numFmtId="9" fontId="10" fillId="0" borderId="51" xfId="42" applyFont="1" applyBorder="1" applyAlignment="1">
      <alignment horizontal="center"/>
    </xf>
    <xf numFmtId="0" fontId="10" fillId="0" borderId="39" xfId="0" applyFont="1" applyFill="1" applyBorder="1" applyAlignment="1">
      <alignment horizontal="center" vertical="center"/>
    </xf>
    <xf numFmtId="173" fontId="9" fillId="0" borderId="14" xfId="0" applyNumberFormat="1" applyFont="1" applyBorder="1"/>
    <xf numFmtId="173" fontId="9" fillId="0" borderId="17" xfId="0" applyNumberFormat="1" applyFont="1" applyBorder="1"/>
    <xf numFmtId="0" fontId="10" fillId="0" borderId="71" xfId="0" applyFont="1" applyBorder="1"/>
    <xf numFmtId="0" fontId="10" fillId="0" borderId="18" xfId="0" applyFont="1" applyBorder="1"/>
    <xf numFmtId="0" fontId="9" fillId="0" borderId="15" xfId="0" applyFont="1" applyBorder="1"/>
    <xf numFmtId="173" fontId="9" fillId="0" borderId="12" xfId="0" applyNumberFormat="1" applyFont="1" applyBorder="1"/>
    <xf numFmtId="173" fontId="9" fillId="0" borderId="65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0" fontId="8" fillId="0" borderId="68" xfId="0" applyFont="1" applyBorder="1"/>
    <xf numFmtId="0" fontId="10" fillId="0" borderId="72" xfId="0" applyFont="1" applyBorder="1" applyAlignment="1">
      <alignment horizontal="center"/>
    </xf>
    <xf numFmtId="173" fontId="10" fillId="0" borderId="18" xfId="0" applyNumberFormat="1" applyFont="1" applyBorder="1"/>
    <xf numFmtId="0" fontId="6" fillId="24" borderId="71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Protection="1"/>
    <xf numFmtId="0" fontId="17" fillId="26" borderId="15" xfId="0" applyFont="1" applyFill="1" applyBorder="1"/>
    <xf numFmtId="0" fontId="17" fillId="26" borderId="12" xfId="0" applyFont="1" applyFill="1" applyBorder="1" applyAlignment="1">
      <alignment horizontal="left"/>
    </xf>
    <xf numFmtId="0" fontId="17" fillId="26" borderId="39" xfId="0" applyFont="1" applyFill="1" applyBorder="1" applyAlignment="1">
      <alignment horizontal="left"/>
    </xf>
    <xf numFmtId="0" fontId="17" fillId="26" borderId="15" xfId="0" applyFont="1" applyFill="1" applyBorder="1" applyAlignment="1">
      <alignment horizontal="left"/>
    </xf>
    <xf numFmtId="0" fontId="6" fillId="27" borderId="0" xfId="0" applyFont="1" applyFill="1"/>
    <xf numFmtId="0" fontId="5" fillId="0" borderId="10" xfId="0" applyFont="1" applyBorder="1"/>
    <xf numFmtId="0" fontId="18" fillId="0" borderId="0" xfId="0" applyFont="1"/>
    <xf numFmtId="17" fontId="5" fillId="0" borderId="10" xfId="0" quotePrefix="1" applyNumberFormat="1" applyFont="1" applyBorder="1"/>
    <xf numFmtId="0" fontId="5" fillId="0" borderId="10" xfId="0" quotePrefix="1" applyFont="1" applyBorder="1"/>
    <xf numFmtId="174" fontId="10" fillId="0" borderId="36" xfId="42" applyNumberFormat="1" applyFont="1" applyBorder="1"/>
    <xf numFmtId="173" fontId="9" fillId="28" borderId="26" xfId="0" applyNumberFormat="1" applyFont="1" applyFill="1" applyBorder="1" applyProtection="1">
      <protection locked="0"/>
    </xf>
    <xf numFmtId="173" fontId="9" fillId="28" borderId="22" xfId="0" applyNumberFormat="1" applyFont="1" applyFill="1" applyBorder="1" applyProtection="1">
      <protection locked="0"/>
    </xf>
    <xf numFmtId="173" fontId="9" fillId="0" borderId="46" xfId="0" applyNumberFormat="1" applyFont="1" applyFill="1" applyBorder="1"/>
    <xf numFmtId="0" fontId="12" fillId="0" borderId="10" xfId="0" applyFont="1" applyBorder="1" applyProtection="1"/>
    <xf numFmtId="0" fontId="9" fillId="0" borderId="10" xfId="0" applyFont="1" applyBorder="1" applyProtection="1"/>
    <xf numFmtId="0" fontId="9" fillId="0" borderId="10" xfId="0" applyFont="1" applyBorder="1" applyAlignment="1" applyProtection="1">
      <alignment horizontal="center"/>
    </xf>
    <xf numFmtId="9" fontId="9" fillId="0" borderId="39" xfId="0" applyNumberFormat="1" applyFont="1" applyBorder="1" applyAlignment="1" applyProtection="1">
      <alignment horizontal="center" vertical="top"/>
      <protection locked="0"/>
    </xf>
    <xf numFmtId="169" fontId="9" fillId="0" borderId="10" xfId="42" applyNumberFormat="1" applyFont="1" applyFill="1" applyBorder="1" applyAlignment="1" applyProtection="1">
      <alignment horizontal="center" vertical="top" wrapText="1"/>
    </xf>
    <xf numFmtId="169" fontId="9" fillId="0" borderId="45" xfId="42" applyNumberFormat="1" applyFont="1" applyFill="1" applyBorder="1" applyAlignment="1" applyProtection="1">
      <alignment horizontal="center" vertical="top" wrapText="1"/>
    </xf>
    <xf numFmtId="169" fontId="9" fillId="0" borderId="22" xfId="42" applyNumberFormat="1" applyFont="1" applyFill="1" applyBorder="1" applyAlignment="1" applyProtection="1">
      <alignment horizontal="center" vertical="top" wrapText="1"/>
    </xf>
    <xf numFmtId="169" fontId="9" fillId="0" borderId="46" xfId="42" applyNumberFormat="1" applyFont="1" applyFill="1" applyBorder="1" applyAlignment="1" applyProtection="1">
      <alignment horizontal="center" vertical="top" wrapText="1"/>
    </xf>
    <xf numFmtId="173" fontId="9" fillId="28" borderId="37" xfId="0" applyNumberFormat="1" applyFont="1" applyFill="1" applyBorder="1" applyProtection="1">
      <protection locked="0"/>
    </xf>
    <xf numFmtId="173" fontId="9" fillId="28" borderId="13" xfId="0" applyNumberFormat="1" applyFont="1" applyFill="1" applyBorder="1" applyProtection="1">
      <protection locked="0"/>
    </xf>
    <xf numFmtId="0" fontId="9" fillId="0" borderId="11" xfId="0" quotePrefix="1" applyFont="1" applyFill="1" applyBorder="1" applyAlignment="1">
      <alignment horizontal="left" indent="2"/>
    </xf>
    <xf numFmtId="0" fontId="10" fillId="0" borderId="11" xfId="0" quotePrefix="1" applyFont="1" applyFill="1" applyBorder="1" applyAlignment="1">
      <alignment horizontal="left" indent="1"/>
    </xf>
    <xf numFmtId="0" fontId="13" fillId="0" borderId="11" xfId="0" quotePrefix="1" applyFont="1" applyFill="1" applyBorder="1" applyAlignment="1">
      <alignment horizontal="left" indent="2"/>
    </xf>
    <xf numFmtId="9" fontId="10" fillId="25" borderId="10" xfId="42" applyFont="1" applyFill="1" applyBorder="1" applyAlignment="1">
      <alignment horizontal="center"/>
    </xf>
    <xf numFmtId="170" fontId="9" fillId="25" borderId="10" xfId="0" applyNumberFormat="1" applyFont="1" applyFill="1" applyBorder="1"/>
    <xf numFmtId="169" fontId="10" fillId="25" borderId="22" xfId="42" applyNumberFormat="1" applyFont="1" applyFill="1" applyBorder="1" applyAlignment="1">
      <alignment horizontal="center" vertical="top" wrapText="1"/>
    </xf>
    <xf numFmtId="170" fontId="9" fillId="25" borderId="22" xfId="0" applyNumberFormat="1" applyFont="1" applyFill="1" applyBorder="1"/>
    <xf numFmtId="9" fontId="10" fillId="25" borderId="22" xfId="42" applyFont="1" applyFill="1" applyBorder="1" applyAlignment="1">
      <alignment horizontal="center" vertical="top" wrapText="1"/>
    </xf>
    <xf numFmtId="9" fontId="9" fillId="25" borderId="22" xfId="42" applyFont="1" applyFill="1" applyBorder="1" applyAlignment="1">
      <alignment horizontal="center"/>
    </xf>
    <xf numFmtId="173" fontId="9" fillId="0" borderId="0" xfId="0" applyNumberFormat="1" applyFont="1" applyFill="1" applyBorder="1" applyProtection="1"/>
    <xf numFmtId="0" fontId="8" fillId="0" borderId="0" xfId="0" applyFont="1" applyFill="1" applyBorder="1" applyAlignment="1"/>
    <xf numFmtId="0" fontId="9" fillId="0" borderId="11" xfId="0" applyFont="1" applyFill="1" applyBorder="1" applyAlignment="1" applyProtection="1">
      <alignment horizontal="left" indent="1"/>
    </xf>
    <xf numFmtId="173" fontId="9" fillId="0" borderId="22" xfId="0" applyNumberFormat="1" applyFont="1" applyFill="1" applyBorder="1" applyProtection="1"/>
    <xf numFmtId="173" fontId="9" fillId="0" borderId="36" xfId="0" applyNumberFormat="1" applyFont="1" applyFill="1" applyBorder="1" applyProtection="1"/>
    <xf numFmtId="169" fontId="10" fillId="25" borderId="24" xfId="42" applyNumberFormat="1" applyFont="1" applyFill="1" applyBorder="1" applyAlignment="1">
      <alignment horizontal="center" vertical="top" wrapText="1"/>
    </xf>
    <xf numFmtId="0" fontId="9" fillId="0" borderId="0" xfId="0" quotePrefix="1" applyFont="1" applyBorder="1"/>
    <xf numFmtId="0" fontId="5" fillId="0" borderId="0" xfId="0" applyFont="1" applyBorder="1" applyAlignment="1">
      <alignment horizontal="left"/>
    </xf>
    <xf numFmtId="0" fontId="10" fillId="0" borderId="24" xfId="0" applyFont="1" applyFill="1" applyBorder="1" applyAlignment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left" indent="2"/>
    </xf>
    <xf numFmtId="0" fontId="9" fillId="0" borderId="22" xfId="0" applyNumberFormat="1" applyFont="1" applyFill="1" applyBorder="1" applyAlignment="1" applyProtection="1">
      <alignment horizontal="center"/>
    </xf>
    <xf numFmtId="0" fontId="9" fillId="0" borderId="5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173" fontId="10" fillId="0" borderId="43" xfId="0" applyNumberFormat="1" applyFont="1" applyBorder="1"/>
    <xf numFmtId="9" fontId="10" fillId="0" borderId="43" xfId="42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8" fillId="0" borderId="14" xfId="0" applyFont="1" applyFill="1" applyBorder="1" applyAlignment="1" applyProtection="1">
      <alignment horizontal="left"/>
    </xf>
    <xf numFmtId="0" fontId="19" fillId="0" borderId="0" xfId="0" applyFont="1"/>
    <xf numFmtId="0" fontId="10" fillId="0" borderId="25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vertical="center"/>
    </xf>
    <xf numFmtId="0" fontId="12" fillId="0" borderId="11" xfId="0" applyFont="1" applyBorder="1" applyProtection="1"/>
    <xf numFmtId="0" fontId="10" fillId="0" borderId="22" xfId="0" applyNumberFormat="1" applyFont="1" applyBorder="1" applyAlignment="1" applyProtection="1">
      <alignment horizontal="center"/>
      <protection locked="0"/>
    </xf>
    <xf numFmtId="173" fontId="10" fillId="0" borderId="22" xfId="0" applyNumberFormat="1" applyFont="1" applyBorder="1" applyAlignment="1">
      <alignment horizontal="right"/>
    </xf>
    <xf numFmtId="173" fontId="10" fillId="0" borderId="13" xfId="0" applyNumberFormat="1" applyFont="1" applyBorder="1" applyAlignment="1">
      <alignment horizontal="right"/>
    </xf>
    <xf numFmtId="173" fontId="10" fillId="0" borderId="0" xfId="0" applyNumberFormat="1" applyFont="1" applyBorder="1" applyAlignment="1">
      <alignment horizontal="right"/>
    </xf>
    <xf numFmtId="173" fontId="10" fillId="0" borderId="26" xfId="0" applyNumberFormat="1" applyFont="1" applyBorder="1" applyAlignment="1">
      <alignment horizontal="right"/>
    </xf>
    <xf numFmtId="0" fontId="9" fillId="0" borderId="22" xfId="0" applyNumberFormat="1" applyFont="1" applyBorder="1" applyAlignment="1" applyProtection="1">
      <alignment horizontal="center"/>
      <protection locked="0"/>
    </xf>
    <xf numFmtId="170" fontId="9" fillId="0" borderId="13" xfId="0" applyNumberFormat="1" applyFont="1" applyBorder="1"/>
    <xf numFmtId="0" fontId="10" fillId="0" borderId="11" xfId="0" applyFont="1" applyBorder="1" applyAlignment="1" applyProtection="1">
      <alignment horizontal="left"/>
    </xf>
    <xf numFmtId="173" fontId="10" fillId="0" borderId="43" xfId="0" applyNumberFormat="1" applyFont="1" applyBorder="1" applyAlignment="1" applyProtection="1">
      <alignment horizontal="right"/>
    </xf>
    <xf numFmtId="173" fontId="10" fillId="0" borderId="73" xfId="0" applyNumberFormat="1" applyFont="1" applyBorder="1" applyAlignment="1" applyProtection="1">
      <alignment horizontal="right"/>
    </xf>
    <xf numFmtId="173" fontId="10" fillId="0" borderId="74" xfId="0" applyNumberFormat="1" applyFont="1" applyBorder="1" applyAlignment="1" applyProtection="1">
      <alignment horizontal="right"/>
    </xf>
    <xf numFmtId="173" fontId="10" fillId="0" borderId="52" xfId="0" applyNumberFormat="1" applyFont="1" applyBorder="1" applyAlignment="1" applyProtection="1">
      <alignment horizontal="right"/>
    </xf>
    <xf numFmtId="170" fontId="10" fillId="0" borderId="18" xfId="0" applyNumberFormat="1" applyFont="1" applyBorder="1"/>
    <xf numFmtId="170" fontId="10" fillId="0" borderId="72" xfId="0" applyNumberFormat="1" applyFont="1" applyBorder="1"/>
    <xf numFmtId="0" fontId="9" fillId="0" borderId="16" xfId="0" applyFont="1" applyBorder="1" applyProtection="1"/>
    <xf numFmtId="0" fontId="9" fillId="0" borderId="24" xfId="0" applyNumberFormat="1" applyFont="1" applyBorder="1" applyAlignment="1" applyProtection="1">
      <alignment horizontal="center"/>
    </xf>
    <xf numFmtId="173" fontId="9" fillId="0" borderId="24" xfId="0" applyNumberFormat="1" applyFont="1" applyBorder="1" applyProtection="1"/>
    <xf numFmtId="173" fontId="9" fillId="0" borderId="17" xfId="0" applyNumberFormat="1" applyFont="1" applyBorder="1" applyProtection="1"/>
    <xf numFmtId="173" fontId="9" fillId="0" borderId="14" xfId="0" applyNumberFormat="1" applyFont="1" applyBorder="1" applyProtection="1"/>
    <xf numFmtId="173" fontId="9" fillId="0" borderId="33" xfId="0" applyNumberFormat="1" applyFont="1" applyBorder="1" applyProtection="1"/>
    <xf numFmtId="0" fontId="12" fillId="0" borderId="15" xfId="0" applyFont="1" applyBorder="1" applyProtection="1"/>
    <xf numFmtId="0" fontId="9" fillId="0" borderId="23" xfId="0" applyNumberFormat="1" applyFont="1" applyBorder="1" applyAlignment="1" applyProtection="1">
      <alignment horizontal="center"/>
    </xf>
    <xf numFmtId="173" fontId="9" fillId="0" borderId="23" xfId="0" applyNumberFormat="1" applyFont="1" applyBorder="1" applyProtection="1"/>
    <xf numFmtId="173" fontId="9" fillId="0" borderId="65" xfId="0" applyNumberFormat="1" applyFont="1" applyBorder="1" applyProtection="1"/>
    <xf numFmtId="173" fontId="9" fillId="0" borderId="12" xfId="0" applyNumberFormat="1" applyFont="1" applyBorder="1" applyProtection="1"/>
    <xf numFmtId="173" fontId="9" fillId="0" borderId="25" xfId="0" applyNumberFormat="1" applyFont="1" applyBorder="1" applyProtection="1"/>
    <xf numFmtId="0" fontId="10" fillId="0" borderId="11" xfId="0" applyFont="1" applyFill="1" applyBorder="1" applyAlignment="1" applyProtection="1">
      <alignment horizontal="left" indent="1"/>
    </xf>
    <xf numFmtId="0" fontId="10" fillId="0" borderId="22" xfId="0" applyNumberFormat="1" applyFont="1" applyBorder="1" applyAlignment="1" applyProtection="1">
      <alignment horizontal="center"/>
    </xf>
    <xf numFmtId="173" fontId="10" fillId="0" borderId="22" xfId="0" applyNumberFormat="1" applyFont="1" applyBorder="1" applyAlignment="1" applyProtection="1">
      <alignment horizontal="right"/>
    </xf>
    <xf numFmtId="173" fontId="10" fillId="0" borderId="13" xfId="0" applyNumberFormat="1" applyFont="1" applyBorder="1" applyAlignment="1" applyProtection="1">
      <alignment horizontal="right"/>
    </xf>
    <xf numFmtId="173" fontId="10" fillId="0" borderId="0" xfId="0" applyNumberFormat="1" applyFont="1" applyBorder="1" applyAlignment="1" applyProtection="1">
      <alignment horizontal="right"/>
    </xf>
    <xf numFmtId="173" fontId="10" fillId="0" borderId="26" xfId="0" applyNumberFormat="1" applyFont="1" applyBorder="1" applyAlignment="1" applyProtection="1">
      <alignment horizontal="right"/>
    </xf>
    <xf numFmtId="173" fontId="9" fillId="28" borderId="0" xfId="0" applyNumberFormat="1" applyFont="1" applyFill="1" applyBorder="1" applyProtection="1">
      <protection locked="0"/>
    </xf>
    <xf numFmtId="170" fontId="9" fillId="0" borderId="10" xfId="0" applyNumberFormat="1" applyFont="1" applyFill="1" applyBorder="1"/>
    <xf numFmtId="173" fontId="10" fillId="0" borderId="74" xfId="0" applyNumberFormat="1" applyFont="1" applyBorder="1"/>
    <xf numFmtId="173" fontId="10" fillId="0" borderId="52" xfId="0" applyNumberFormat="1" applyFont="1" applyBorder="1"/>
    <xf numFmtId="170" fontId="10" fillId="0" borderId="13" xfId="0" applyNumberFormat="1" applyFont="1" applyBorder="1"/>
    <xf numFmtId="0" fontId="9" fillId="0" borderId="29" xfId="0" applyNumberFormat="1" applyFont="1" applyBorder="1" applyAlignment="1" applyProtection="1">
      <alignment horizontal="center"/>
      <protection locked="0"/>
    </xf>
    <xf numFmtId="173" fontId="10" fillId="0" borderId="29" xfId="0" applyNumberFormat="1" applyFont="1" applyFill="1" applyBorder="1"/>
    <xf numFmtId="173" fontId="10" fillId="0" borderId="75" xfId="0" applyNumberFormat="1" applyFont="1" applyBorder="1"/>
    <xf numFmtId="170" fontId="10" fillId="0" borderId="76" xfId="0" applyNumberFormat="1" applyFont="1" applyBorder="1"/>
    <xf numFmtId="170" fontId="10" fillId="0" borderId="77" xfId="0" applyNumberFormat="1" applyFont="1" applyBorder="1"/>
    <xf numFmtId="0" fontId="14" fillId="0" borderId="0" xfId="0" applyFont="1" applyBorder="1" applyProtection="1"/>
    <xf numFmtId="0" fontId="9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170" fontId="10" fillId="0" borderId="0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13" fillId="0" borderId="0" xfId="0" quotePrefix="1" applyFont="1" applyBorder="1" applyProtection="1"/>
    <xf numFmtId="0" fontId="10" fillId="0" borderId="0" xfId="0" applyFont="1" applyBorder="1" applyProtection="1">
      <protection locked="0"/>
    </xf>
    <xf numFmtId="170" fontId="10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  <protection locked="0"/>
    </xf>
    <xf numFmtId="166" fontId="9" fillId="0" borderId="0" xfId="28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9" fontId="10" fillId="0" borderId="22" xfId="4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3" fontId="10" fillId="0" borderId="37" xfId="0" applyNumberFormat="1" applyFont="1" applyBorder="1" applyAlignment="1">
      <alignment horizontal="right"/>
    </xf>
    <xf numFmtId="173" fontId="10" fillId="0" borderId="78" xfId="0" applyNumberFormat="1" applyFont="1" applyBorder="1" applyAlignment="1" applyProtection="1">
      <alignment horizontal="right"/>
    </xf>
    <xf numFmtId="173" fontId="9" fillId="0" borderId="69" xfId="0" applyNumberFormat="1" applyFont="1" applyBorder="1" applyProtection="1"/>
    <xf numFmtId="173" fontId="9" fillId="0" borderId="79" xfId="0" applyNumberFormat="1" applyFont="1" applyBorder="1" applyProtection="1"/>
    <xf numFmtId="173" fontId="10" fillId="0" borderId="37" xfId="0" applyNumberFormat="1" applyFont="1" applyBorder="1" applyAlignment="1" applyProtection="1">
      <alignment horizontal="right"/>
    </xf>
    <xf numFmtId="173" fontId="10" fillId="0" borderId="78" xfId="0" applyNumberFormat="1" applyFont="1" applyBorder="1"/>
    <xf numFmtId="173" fontId="10" fillId="0" borderId="34" xfId="0" applyNumberFormat="1" applyFont="1" applyFill="1" applyBorder="1"/>
    <xf numFmtId="0" fontId="9" fillId="0" borderId="25" xfId="0" applyFont="1" applyBorder="1"/>
    <xf numFmtId="0" fontId="9" fillId="0" borderId="23" xfId="0" applyFont="1" applyBorder="1"/>
    <xf numFmtId="173" fontId="10" fillId="0" borderId="30" xfId="0" applyNumberFormat="1" applyFont="1" applyFill="1" applyBorder="1"/>
    <xf numFmtId="173" fontId="10" fillId="0" borderId="49" xfId="0" applyNumberFormat="1" applyFont="1" applyBorder="1"/>
    <xf numFmtId="173" fontId="9" fillId="0" borderId="43" xfId="0" applyNumberFormat="1" applyFont="1" applyBorder="1"/>
    <xf numFmtId="9" fontId="9" fillId="0" borderId="43" xfId="42" applyFont="1" applyBorder="1" applyAlignment="1">
      <alignment horizontal="center"/>
    </xf>
    <xf numFmtId="173" fontId="10" fillId="0" borderId="67" xfId="0" applyNumberFormat="1" applyFont="1" applyBorder="1"/>
    <xf numFmtId="0" fontId="9" fillId="0" borderId="11" xfId="0" applyNumberFormat="1" applyFont="1" applyFill="1" applyBorder="1" applyAlignment="1">
      <alignment horizontal="left" indent="1"/>
    </xf>
    <xf numFmtId="0" fontId="9" fillId="0" borderId="11" xfId="0" applyNumberFormat="1" applyFont="1" applyBorder="1" applyAlignment="1">
      <alignment horizontal="left" indent="1"/>
    </xf>
    <xf numFmtId="0" fontId="9" fillId="0" borderId="5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6" xfId="0" applyFont="1" applyBorder="1" applyAlignment="1">
      <alignment horizontal="center" vertical="top"/>
    </xf>
    <xf numFmtId="173" fontId="10" fillId="0" borderId="55" xfId="0" applyNumberFormat="1" applyFont="1" applyBorder="1" applyAlignment="1">
      <alignment vertical="top"/>
    </xf>
    <xf numFmtId="173" fontId="10" fillId="0" borderId="32" xfId="0" applyNumberFormat="1" applyFont="1" applyBorder="1" applyAlignment="1">
      <alignment vertical="top"/>
    </xf>
    <xf numFmtId="173" fontId="10" fillId="0" borderId="31" xfId="0" applyNumberFormat="1" applyFont="1" applyBorder="1" applyAlignment="1">
      <alignment vertical="top"/>
    </xf>
    <xf numFmtId="9" fontId="10" fillId="0" borderId="31" xfId="42" applyFont="1" applyBorder="1" applyAlignment="1">
      <alignment horizontal="center" vertical="top"/>
    </xf>
    <xf numFmtId="173" fontId="10" fillId="0" borderId="47" xfId="0" applyNumberFormat="1" applyFont="1" applyBorder="1" applyAlignment="1">
      <alignment vertical="top"/>
    </xf>
    <xf numFmtId="0" fontId="10" fillId="0" borderId="11" xfId="0" applyNumberFormat="1" applyFont="1" applyBorder="1" applyAlignment="1">
      <alignment wrapText="1"/>
    </xf>
    <xf numFmtId="173" fontId="10" fillId="0" borderId="43" xfId="0" applyNumberFormat="1" applyFont="1" applyBorder="1" applyAlignment="1">
      <alignment vertical="top"/>
    </xf>
    <xf numFmtId="173" fontId="10" fillId="0" borderId="49" xfId="0" applyNumberFormat="1" applyFont="1" applyBorder="1" applyAlignment="1">
      <alignment vertical="top"/>
    </xf>
    <xf numFmtId="173" fontId="10" fillId="0" borderId="60" xfId="0" applyNumberFormat="1" applyFont="1" applyBorder="1" applyAlignment="1">
      <alignment vertical="top"/>
    </xf>
    <xf numFmtId="173" fontId="9" fillId="0" borderId="10" xfId="0" applyNumberFormat="1" applyFont="1" applyFill="1" applyBorder="1"/>
    <xf numFmtId="173" fontId="9" fillId="0" borderId="45" xfId="0" applyNumberFormat="1" applyFont="1" applyFill="1" applyBorder="1"/>
    <xf numFmtId="173" fontId="9" fillId="0" borderId="10" xfId="0" applyNumberFormat="1" applyFont="1" applyFill="1" applyBorder="1" applyProtection="1">
      <protection locked="0"/>
    </xf>
    <xf numFmtId="173" fontId="9" fillId="0" borderId="45" xfId="0" applyNumberFormat="1" applyFont="1" applyFill="1" applyBorder="1" applyProtection="1">
      <protection locked="0"/>
    </xf>
    <xf numFmtId="173" fontId="9" fillId="0" borderId="22" xfId="0" applyNumberFormat="1" applyFont="1" applyFill="1" applyBorder="1" applyProtection="1">
      <protection locked="0"/>
    </xf>
    <xf numFmtId="173" fontId="9" fillId="0" borderId="46" xfId="0" applyNumberFormat="1" applyFont="1" applyFill="1" applyBorder="1" applyProtection="1">
      <protection locked="0"/>
    </xf>
    <xf numFmtId="0" fontId="10" fillId="0" borderId="27" xfId="0" applyFont="1" applyBorder="1" applyAlignment="1">
      <alignment horizontal="left"/>
    </xf>
    <xf numFmtId="0" fontId="9" fillId="0" borderId="11" xfId="0" applyFont="1" applyFill="1" applyBorder="1" applyAlignment="1">
      <alignment horizontal="left" indent="2"/>
    </xf>
    <xf numFmtId="0" fontId="10" fillId="0" borderId="38" xfId="0" applyFont="1" applyBorder="1"/>
    <xf numFmtId="0" fontId="9" fillId="0" borderId="56" xfId="0" applyFont="1" applyBorder="1" applyAlignment="1">
      <alignment horizontal="center"/>
    </xf>
    <xf numFmtId="173" fontId="10" fillId="0" borderId="38" xfId="0" applyNumberFormat="1" applyFont="1" applyFill="1" applyBorder="1"/>
    <xf numFmtId="173" fontId="10" fillId="0" borderId="64" xfId="0" applyNumberFormat="1" applyFont="1" applyFill="1" applyBorder="1"/>
    <xf numFmtId="9" fontId="10" fillId="0" borderId="29" xfId="42" applyFont="1" applyFill="1" applyBorder="1" applyAlignment="1">
      <alignment horizontal="center"/>
    </xf>
    <xf numFmtId="173" fontId="10" fillId="0" borderId="56" xfId="0" applyNumberFormat="1" applyFont="1" applyFill="1" applyBorder="1"/>
    <xf numFmtId="173" fontId="10" fillId="0" borderId="60" xfId="0" applyNumberFormat="1" applyFont="1" applyBorder="1"/>
    <xf numFmtId="173" fontId="10" fillId="0" borderId="31" xfId="0" applyNumberFormat="1" applyFont="1" applyFill="1" applyBorder="1"/>
    <xf numFmtId="0" fontId="9" fillId="0" borderId="37" xfId="0" applyFont="1" applyFill="1" applyBorder="1" applyAlignment="1">
      <alignment horizontal="left" vertical="top" wrapText="1"/>
    </xf>
    <xf numFmtId="0" fontId="10" fillId="0" borderId="11" xfId="0" applyNumberFormat="1" applyFont="1" applyBorder="1"/>
    <xf numFmtId="0" fontId="9" fillId="0" borderId="11" xfId="0" applyNumberFormat="1" applyFont="1" applyBorder="1"/>
    <xf numFmtId="0" fontId="12" fillId="0" borderId="11" xfId="0" applyNumberFormat="1" applyFont="1" applyBorder="1"/>
    <xf numFmtId="0" fontId="10" fillId="0" borderId="38" xfId="0" applyNumberFormat="1" applyFont="1" applyBorder="1"/>
    <xf numFmtId="173" fontId="10" fillId="25" borderId="30" xfId="0" applyNumberFormat="1" applyFont="1" applyFill="1" applyBorder="1"/>
    <xf numFmtId="173" fontId="9" fillId="0" borderId="26" xfId="0" applyNumberFormat="1" applyFont="1" applyFill="1" applyBorder="1" applyProtection="1">
      <protection locked="0"/>
    </xf>
    <xf numFmtId="169" fontId="9" fillId="0" borderId="22" xfId="42" applyNumberFormat="1" applyFont="1" applyFill="1" applyBorder="1" applyAlignment="1" applyProtection="1">
      <alignment horizontal="center" vertical="top" wrapText="1"/>
      <protection locked="0"/>
    </xf>
    <xf numFmtId="173" fontId="9" fillId="0" borderId="43" xfId="0" applyNumberFormat="1" applyFont="1" applyFill="1" applyBorder="1" applyProtection="1">
      <protection locked="0"/>
    </xf>
    <xf numFmtId="169" fontId="9" fillId="0" borderId="43" xfId="42" applyNumberFormat="1" applyFont="1" applyFill="1" applyBorder="1" applyAlignment="1" applyProtection="1">
      <alignment horizontal="center" vertical="top" wrapText="1"/>
      <protection locked="0"/>
    </xf>
    <xf numFmtId="173" fontId="9" fillId="0" borderId="52" xfId="0" applyNumberFormat="1" applyFont="1" applyFill="1" applyBorder="1" applyProtection="1">
      <protection locked="0"/>
    </xf>
    <xf numFmtId="169" fontId="9" fillId="0" borderId="43" xfId="42" applyNumberFormat="1" applyFont="1" applyFill="1" applyBorder="1" applyAlignment="1">
      <alignment horizontal="center" vertical="top" wrapText="1"/>
    </xf>
    <xf numFmtId="169" fontId="10" fillId="0" borderId="43" xfId="42" applyNumberFormat="1" applyFont="1" applyFill="1" applyBorder="1" applyAlignment="1">
      <alignment horizontal="center" vertical="top" wrapText="1"/>
    </xf>
    <xf numFmtId="0" fontId="9" fillId="0" borderId="59" xfId="0" applyFont="1" applyBorder="1"/>
    <xf numFmtId="173" fontId="9" fillId="0" borderId="66" xfId="0" applyNumberFormat="1" applyFont="1" applyBorder="1"/>
    <xf numFmtId="0" fontId="10" fillId="0" borderId="27" xfId="0" applyNumberFormat="1" applyFont="1" applyBorder="1" applyAlignment="1">
      <alignment vertical="center"/>
    </xf>
    <xf numFmtId="0" fontId="10" fillId="0" borderId="40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vertical="center"/>
    </xf>
    <xf numFmtId="0" fontId="12" fillId="0" borderId="27" xfId="0" applyFont="1" applyBorder="1"/>
    <xf numFmtId="170" fontId="9" fillId="0" borderId="38" xfId="0" quotePrefix="1" applyNumberFormat="1" applyFont="1" applyBorder="1" applyAlignment="1">
      <alignment horizontal="center"/>
    </xf>
    <xf numFmtId="170" fontId="9" fillId="0" borderId="30" xfId="0" quotePrefix="1" applyNumberFormat="1" applyFont="1" applyBorder="1" applyAlignment="1">
      <alignment horizontal="center"/>
    </xf>
    <xf numFmtId="170" fontId="9" fillId="0" borderId="29" xfId="0" quotePrefix="1" applyNumberFormat="1" applyFont="1" applyBorder="1" applyAlignment="1">
      <alignment horizontal="center"/>
    </xf>
    <xf numFmtId="170" fontId="9" fillId="0" borderId="29" xfId="0" applyNumberFormat="1" applyFont="1" applyBorder="1" applyAlignment="1">
      <alignment horizontal="center"/>
    </xf>
    <xf numFmtId="170" fontId="9" fillId="0" borderId="56" xfId="0" quotePrefix="1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left"/>
    </xf>
    <xf numFmtId="0" fontId="10" fillId="0" borderId="27" xfId="0" applyNumberFormat="1" applyFont="1" applyBorder="1"/>
    <xf numFmtId="0" fontId="10" fillId="0" borderId="27" xfId="0" applyFont="1" applyBorder="1" applyAlignment="1">
      <alignment vertical="center" wrapText="1"/>
    </xf>
    <xf numFmtId="0" fontId="10" fillId="0" borderId="54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173" fontId="9" fillId="0" borderId="67" xfId="0" applyNumberFormat="1" applyFont="1" applyBorder="1"/>
    <xf numFmtId="173" fontId="9" fillId="0" borderId="52" xfId="0" applyNumberFormat="1" applyFont="1" applyBorder="1"/>
    <xf numFmtId="173" fontId="9" fillId="0" borderId="49" xfId="0" applyNumberFormat="1" applyFont="1" applyBorder="1"/>
    <xf numFmtId="0" fontId="13" fillId="0" borderId="11" xfId="0" applyNumberFormat="1" applyFont="1" applyBorder="1" applyAlignment="1">
      <alignment horizontal="left" indent="2"/>
    </xf>
    <xf numFmtId="169" fontId="10" fillId="0" borderId="37" xfId="42" applyNumberFormat="1" applyFont="1" applyFill="1" applyBorder="1" applyAlignment="1">
      <alignment horizontal="center" vertical="top" wrapText="1"/>
    </xf>
    <xf numFmtId="173" fontId="10" fillId="0" borderId="54" xfId="0" applyNumberFormat="1" applyFont="1" applyBorder="1"/>
    <xf numFmtId="173" fontId="10" fillId="0" borderId="62" xfId="0" applyNumberFormat="1" applyFont="1" applyBorder="1"/>
    <xf numFmtId="173" fontId="10" fillId="0" borderId="36" xfId="0" applyNumberFormat="1" applyFont="1" applyBorder="1"/>
    <xf numFmtId="169" fontId="10" fillId="0" borderId="36" xfId="42" applyNumberFormat="1" applyFont="1" applyFill="1" applyBorder="1" applyAlignment="1">
      <alignment horizontal="center" vertical="top" wrapText="1"/>
    </xf>
    <xf numFmtId="173" fontId="10" fillId="0" borderId="51" xfId="0" applyNumberFormat="1" applyFont="1" applyBorder="1"/>
    <xf numFmtId="0" fontId="13" fillId="0" borderId="11" xfId="0" applyFont="1" applyFill="1" applyBorder="1" applyAlignment="1" applyProtection="1">
      <alignment horizontal="left" indent="1"/>
      <protection locked="0"/>
    </xf>
    <xf numFmtId="0" fontId="9" fillId="0" borderId="10" xfId="0" applyFont="1" applyFill="1" applyBorder="1" applyAlignment="1">
      <alignment horizontal="left" inden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/>
    <xf numFmtId="0" fontId="13" fillId="0" borderId="0" xfId="0" applyFont="1" applyBorder="1" applyProtection="1"/>
    <xf numFmtId="0" fontId="9" fillId="0" borderId="31" xfId="0" applyFont="1" applyBorder="1" applyAlignment="1">
      <alignment horizontal="center"/>
    </xf>
    <xf numFmtId="0" fontId="10" fillId="0" borderId="35" xfId="0" applyNumberFormat="1" applyFont="1" applyBorder="1" applyAlignment="1">
      <alignment horizontal="left" wrapText="1"/>
    </xf>
    <xf numFmtId="0" fontId="9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75" fontId="5" fillId="0" borderId="11" xfId="0" applyNumberFormat="1" applyFont="1" applyBorder="1" applyAlignment="1">
      <alignment horizontal="left"/>
    </xf>
    <xf numFmtId="174" fontId="9" fillId="0" borderId="45" xfId="42" applyNumberFormat="1" applyFont="1" applyBorder="1"/>
    <xf numFmtId="174" fontId="10" fillId="0" borderId="22" xfId="42" applyNumberFormat="1" applyFont="1" applyBorder="1" applyAlignment="1">
      <alignment vertical="top"/>
    </xf>
    <xf numFmtId="174" fontId="10" fillId="0" borderId="45" xfId="42" applyNumberFormat="1" applyFont="1" applyBorder="1" applyAlignment="1">
      <alignment vertical="top"/>
    </xf>
    <xf numFmtId="174" fontId="10" fillId="0" borderId="43" xfId="42" applyNumberFormat="1" applyFont="1" applyBorder="1"/>
    <xf numFmtId="172" fontId="10" fillId="25" borderId="22" xfId="0" applyNumberFormat="1" applyFont="1" applyFill="1" applyBorder="1"/>
    <xf numFmtId="174" fontId="10" fillId="25" borderId="22" xfId="42" applyNumberFormat="1" applyFont="1" applyFill="1" applyBorder="1"/>
    <xf numFmtId="173" fontId="10" fillId="0" borderId="47" xfId="0" applyNumberFormat="1" applyFont="1" applyFill="1" applyBorder="1"/>
    <xf numFmtId="173" fontId="10" fillId="0" borderId="61" xfId="0" applyNumberFormat="1" applyFont="1" applyFill="1" applyBorder="1"/>
    <xf numFmtId="9" fontId="10" fillId="0" borderId="31" xfId="42" applyFont="1" applyFill="1" applyBorder="1" applyAlignment="1">
      <alignment horizontal="center"/>
    </xf>
    <xf numFmtId="173" fontId="10" fillId="0" borderId="80" xfId="0" applyNumberFormat="1" applyFont="1" applyFill="1" applyBorder="1"/>
    <xf numFmtId="173" fontId="10" fillId="0" borderId="10" xfId="0" applyNumberFormat="1" applyFont="1" applyFill="1" applyBorder="1"/>
    <xf numFmtId="173" fontId="10" fillId="0" borderId="26" xfId="0" applyNumberFormat="1" applyFont="1" applyFill="1" applyBorder="1"/>
    <xf numFmtId="173" fontId="10" fillId="0" borderId="46" xfId="0" applyNumberFormat="1" applyFont="1" applyFill="1" applyBorder="1"/>
    <xf numFmtId="0" fontId="9" fillId="0" borderId="22" xfId="0" applyNumberFormat="1" applyFont="1" applyBorder="1" applyAlignment="1">
      <alignment horizontal="center"/>
    </xf>
    <xf numFmtId="173" fontId="10" fillId="0" borderId="31" xfId="0" applyNumberFormat="1" applyFont="1" applyFill="1" applyBorder="1" applyProtection="1"/>
    <xf numFmtId="173" fontId="10" fillId="0" borderId="47" xfId="0" applyNumberFormat="1" applyFont="1" applyFill="1" applyBorder="1" applyProtection="1"/>
    <xf numFmtId="0" fontId="9" fillId="0" borderId="26" xfId="0" applyNumberFormat="1" applyFont="1" applyFill="1" applyBorder="1" applyAlignment="1" applyProtection="1">
      <alignment horizontal="left" indent="2"/>
    </xf>
    <xf numFmtId="173" fontId="9" fillId="0" borderId="43" xfId="0" applyNumberFormat="1" applyFont="1" applyFill="1" applyBorder="1" applyProtection="1"/>
    <xf numFmtId="173" fontId="9" fillId="0" borderId="52" xfId="0" applyNumberFormat="1" applyFont="1" applyFill="1" applyBorder="1" applyProtection="1"/>
    <xf numFmtId="173" fontId="9" fillId="0" borderId="49" xfId="0" applyNumberFormat="1" applyFont="1" applyFill="1" applyBorder="1" applyProtection="1"/>
    <xf numFmtId="173" fontId="10" fillId="0" borderId="43" xfId="0" applyNumberFormat="1" applyFont="1" applyFill="1" applyBorder="1" applyProtection="1"/>
    <xf numFmtId="173" fontId="10" fillId="0" borderId="78" xfId="0" applyNumberFormat="1" applyFont="1" applyFill="1" applyBorder="1" applyProtection="1"/>
    <xf numFmtId="173" fontId="10" fillId="0" borderId="52" xfId="0" applyNumberFormat="1" applyFont="1" applyFill="1" applyBorder="1" applyProtection="1"/>
    <xf numFmtId="173" fontId="10" fillId="0" borderId="49" xfId="0" applyNumberFormat="1" applyFont="1" applyFill="1" applyBorder="1" applyProtection="1"/>
    <xf numFmtId="0" fontId="10" fillId="0" borderId="11" xfId="0" applyNumberFormat="1" applyFont="1" applyBorder="1" applyProtection="1"/>
    <xf numFmtId="173" fontId="10" fillId="0" borderId="43" xfId="0" applyNumberFormat="1" applyFont="1" applyFill="1" applyBorder="1"/>
    <xf numFmtId="173" fontId="10" fillId="0" borderId="49" xfId="0" applyNumberFormat="1" applyFont="1" applyFill="1" applyBorder="1"/>
    <xf numFmtId="0" fontId="9" fillId="0" borderId="11" xfId="0" applyNumberFormat="1" applyFont="1" applyBorder="1" applyProtection="1"/>
    <xf numFmtId="0" fontId="12" fillId="0" borderId="11" xfId="0" applyNumberFormat="1" applyFont="1" applyBorder="1" applyProtection="1"/>
    <xf numFmtId="0" fontId="15" fillId="0" borderId="22" xfId="0" applyNumberFormat="1" applyFont="1" applyBorder="1" applyAlignment="1" applyProtection="1">
      <alignment horizontal="center"/>
    </xf>
    <xf numFmtId="0" fontId="10" fillId="0" borderId="27" xfId="0" applyNumberFormat="1" applyFont="1" applyBorder="1" applyProtection="1"/>
    <xf numFmtId="0" fontId="9" fillId="0" borderId="29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170" fontId="11" fillId="0" borderId="0" xfId="0" applyNumberFormat="1" applyFont="1" applyBorder="1" applyProtection="1">
      <protection locked="0"/>
    </xf>
    <xf numFmtId="0" fontId="11" fillId="0" borderId="0" xfId="0" applyFont="1" applyBorder="1" applyProtection="1"/>
    <xf numFmtId="170" fontId="11" fillId="0" borderId="0" xfId="0" applyNumberFormat="1" applyFont="1" applyBorder="1" applyProtection="1"/>
    <xf numFmtId="166" fontId="13" fillId="0" borderId="0" xfId="28" applyNumberFormat="1" applyFont="1" applyBorder="1" applyAlignment="1">
      <alignment horizontal="right"/>
    </xf>
    <xf numFmtId="166" fontId="13" fillId="0" borderId="0" xfId="28" applyNumberFormat="1" applyFont="1" applyFill="1" applyBorder="1" applyAlignment="1">
      <alignment horizontal="right"/>
    </xf>
    <xf numFmtId="173" fontId="9" fillId="0" borderId="0" xfId="0" applyNumberFormat="1" applyFont="1"/>
    <xf numFmtId="0" fontId="10" fillId="0" borderId="23" xfId="0" applyFont="1" applyFill="1" applyBorder="1" applyAlignment="1">
      <alignment horizontal="center"/>
    </xf>
    <xf numFmtId="173" fontId="9" fillId="0" borderId="31" xfId="0" applyNumberFormat="1" applyFont="1" applyFill="1" applyBorder="1"/>
    <xf numFmtId="9" fontId="9" fillId="0" borderId="31" xfId="42" applyFont="1" applyFill="1" applyBorder="1" applyAlignment="1">
      <alignment horizontal="center"/>
    </xf>
    <xf numFmtId="173" fontId="10" fillId="0" borderId="24" xfId="0" applyNumberFormat="1" applyFont="1" applyFill="1" applyBorder="1"/>
    <xf numFmtId="170" fontId="11" fillId="0" borderId="0" xfId="0" applyNumberFormat="1" applyFont="1" applyFill="1" applyBorder="1" applyProtection="1">
      <protection locked="0"/>
    </xf>
    <xf numFmtId="170" fontId="11" fillId="0" borderId="0" xfId="0" applyNumberFormat="1" applyFont="1" applyFill="1" applyBorder="1" applyProtection="1"/>
    <xf numFmtId="173" fontId="10" fillId="0" borderId="22" xfId="0" applyNumberFormat="1" applyFont="1" applyFill="1" applyBorder="1" applyProtection="1"/>
    <xf numFmtId="9" fontId="10" fillId="0" borderId="24" xfId="42" applyFont="1" applyFill="1" applyBorder="1" applyAlignment="1">
      <alignment horizontal="center"/>
    </xf>
    <xf numFmtId="173" fontId="10" fillId="0" borderId="50" xfId="0" applyNumberFormat="1" applyFont="1" applyFill="1" applyBorder="1"/>
    <xf numFmtId="173" fontId="10" fillId="0" borderId="58" xfId="0" applyNumberFormat="1" applyFont="1" applyFill="1" applyBorder="1"/>
    <xf numFmtId="173" fontId="10" fillId="0" borderId="46" xfId="0" applyNumberFormat="1" applyFont="1" applyFill="1" applyBorder="1" applyProtection="1"/>
    <xf numFmtId="173" fontId="9" fillId="0" borderId="46" xfId="0" applyNumberFormat="1" applyFont="1" applyFill="1" applyBorder="1" applyProtection="1"/>
    <xf numFmtId="173" fontId="9" fillId="0" borderId="46" xfId="29" applyNumberFormat="1" applyFont="1" applyFill="1" applyBorder="1" applyProtection="1"/>
    <xf numFmtId="173" fontId="10" fillId="0" borderId="55" xfId="0" applyNumberFormat="1" applyFont="1" applyFill="1" applyBorder="1"/>
    <xf numFmtId="173" fontId="9" fillId="0" borderId="13" xfId="0" applyNumberFormat="1" applyFont="1" applyFill="1" applyBorder="1"/>
    <xf numFmtId="0" fontId="0" fillId="0" borderId="0" xfId="0" applyProtection="1"/>
    <xf numFmtId="0" fontId="6" fillId="29" borderId="72" xfId="0" applyFont="1" applyFill="1" applyBorder="1" applyAlignment="1" applyProtection="1">
      <alignment horizontal="center"/>
    </xf>
    <xf numFmtId="173" fontId="9" fillId="0" borderId="10" xfId="0" applyNumberFormat="1" applyFont="1" applyFill="1" applyBorder="1" applyProtection="1"/>
    <xf numFmtId="173" fontId="9" fillId="0" borderId="26" xfId="0" applyNumberFormat="1" applyFont="1" applyFill="1" applyBorder="1" applyProtection="1"/>
    <xf numFmtId="173" fontId="9" fillId="0" borderId="37" xfId="0" applyNumberFormat="1" applyFont="1" applyFill="1" applyBorder="1" applyProtection="1"/>
    <xf numFmtId="173" fontId="9" fillId="0" borderId="54" xfId="0" applyNumberFormat="1" applyFont="1" applyFill="1" applyBorder="1" applyProtection="1"/>
    <xf numFmtId="173" fontId="9" fillId="0" borderId="66" xfId="0" applyNumberFormat="1" applyFont="1" applyFill="1" applyBorder="1" applyProtection="1"/>
    <xf numFmtId="173" fontId="9" fillId="0" borderId="81" xfId="0" applyNumberFormat="1" applyFont="1" applyFill="1" applyBorder="1" applyProtection="1"/>
    <xf numFmtId="173" fontId="9" fillId="0" borderId="51" xfId="0" applyNumberFormat="1" applyFont="1" applyFill="1" applyBorder="1" applyProtection="1"/>
    <xf numFmtId="173" fontId="10" fillId="0" borderId="10" xfId="0" applyNumberFormat="1" applyFont="1" applyFill="1" applyBorder="1" applyAlignment="1" applyProtection="1">
      <alignment vertical="top"/>
    </xf>
    <xf numFmtId="173" fontId="10" fillId="0" borderId="26" xfId="0" applyNumberFormat="1" applyFont="1" applyFill="1" applyBorder="1" applyAlignment="1" applyProtection="1">
      <alignment vertical="top"/>
    </xf>
    <xf numFmtId="173" fontId="10" fillId="0" borderId="22" xfId="0" applyNumberFormat="1" applyFont="1" applyFill="1" applyBorder="1" applyAlignment="1" applyProtection="1">
      <alignment vertical="top"/>
    </xf>
    <xf numFmtId="173" fontId="10" fillId="0" borderId="37" xfId="0" applyNumberFormat="1" applyFont="1" applyFill="1" applyBorder="1" applyAlignment="1" applyProtection="1">
      <alignment vertical="top"/>
    </xf>
    <xf numFmtId="173" fontId="10" fillId="0" borderId="46" xfId="0" applyNumberFormat="1" applyFont="1" applyFill="1" applyBorder="1" applyAlignment="1" applyProtection="1">
      <alignment vertical="top"/>
    </xf>
    <xf numFmtId="173" fontId="10" fillId="0" borderId="54" xfId="0" applyNumberFormat="1" applyFont="1" applyFill="1" applyBorder="1" applyProtection="1"/>
    <xf numFmtId="173" fontId="10" fillId="0" borderId="66" xfId="0" applyNumberFormat="1" applyFont="1" applyFill="1" applyBorder="1" applyProtection="1"/>
    <xf numFmtId="173" fontId="10" fillId="0" borderId="36" xfId="0" applyNumberFormat="1" applyFont="1" applyFill="1" applyBorder="1" applyProtection="1"/>
    <xf numFmtId="173" fontId="10" fillId="0" borderId="81" xfId="0" applyNumberFormat="1" applyFont="1" applyFill="1" applyBorder="1" applyProtection="1"/>
    <xf numFmtId="173" fontId="10" fillId="0" borderId="51" xfId="0" applyNumberFormat="1" applyFont="1" applyFill="1" applyBorder="1" applyProtection="1"/>
    <xf numFmtId="173" fontId="10" fillId="0" borderId="10" xfId="0" applyNumberFormat="1" applyFont="1" applyFill="1" applyBorder="1" applyProtection="1"/>
    <xf numFmtId="173" fontId="10" fillId="0" borderId="26" xfId="0" applyNumberFormat="1" applyFont="1" applyFill="1" applyBorder="1" applyProtection="1"/>
    <xf numFmtId="173" fontId="10" fillId="0" borderId="37" xfId="0" applyNumberFormat="1" applyFont="1" applyFill="1" applyBorder="1" applyProtection="1"/>
    <xf numFmtId="173" fontId="10" fillId="0" borderId="67" xfId="0" applyNumberFormat="1" applyFont="1" applyFill="1" applyBorder="1" applyProtection="1"/>
    <xf numFmtId="173" fontId="10" fillId="0" borderId="45" xfId="0" applyNumberFormat="1" applyFont="1" applyFill="1" applyBorder="1" applyProtection="1"/>
    <xf numFmtId="173" fontId="9" fillId="0" borderId="45" xfId="0" applyNumberFormat="1" applyFont="1" applyFill="1" applyBorder="1" applyProtection="1"/>
    <xf numFmtId="173" fontId="9" fillId="0" borderId="45" xfId="28" applyNumberFormat="1" applyFont="1" applyFill="1" applyBorder="1" applyProtection="1"/>
    <xf numFmtId="173" fontId="9" fillId="0" borderId="22" xfId="28" applyNumberFormat="1" applyFont="1" applyFill="1" applyBorder="1" applyProtection="1"/>
    <xf numFmtId="173" fontId="9" fillId="0" borderId="46" xfId="28" applyNumberFormat="1" applyFont="1" applyFill="1" applyBorder="1" applyProtection="1"/>
    <xf numFmtId="9" fontId="9" fillId="0" borderId="46" xfId="42" applyFont="1" applyFill="1" applyBorder="1" applyAlignment="1" applyProtection="1">
      <alignment horizontal="center"/>
    </xf>
    <xf numFmtId="173" fontId="9" fillId="0" borderId="46" xfId="0" applyNumberFormat="1" applyFont="1" applyFill="1" applyBorder="1" applyAlignment="1" applyProtection="1">
      <alignment horizontal="center"/>
    </xf>
    <xf numFmtId="173" fontId="9" fillId="0" borderId="51" xfId="0" applyNumberFormat="1" applyFont="1" applyFill="1" applyBorder="1" applyAlignment="1" applyProtection="1">
      <alignment horizontal="center"/>
    </xf>
    <xf numFmtId="173" fontId="9" fillId="0" borderId="67" xfId="0" applyNumberFormat="1" applyFont="1" applyFill="1" applyBorder="1" applyProtection="1"/>
    <xf numFmtId="0" fontId="9" fillId="0" borderId="0" xfId="0" applyFont="1" applyFill="1" applyAlignment="1" applyProtection="1">
      <alignment horizontal="center"/>
    </xf>
    <xf numFmtId="166" fontId="9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6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4" fillId="28" borderId="0" xfId="0" applyFont="1" applyFill="1" applyProtection="1">
      <protection locked="0"/>
    </xf>
    <xf numFmtId="0" fontId="37" fillId="0" borderId="14" xfId="0" applyFont="1" applyFill="1" applyBorder="1" applyAlignment="1" applyProtection="1">
      <alignment horizontal="left"/>
    </xf>
    <xf numFmtId="0" fontId="41" fillId="0" borderId="0" xfId="0" applyFont="1"/>
    <xf numFmtId="0" fontId="10" fillId="0" borderId="38" xfId="0" applyNumberFormat="1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166" fontId="13" fillId="0" borderId="0" xfId="28" applyNumberFormat="1" applyFont="1"/>
    <xf numFmtId="0" fontId="10" fillId="24" borderId="65" xfId="0" applyFont="1" applyFill="1" applyBorder="1" applyAlignment="1">
      <alignment horizontal="center" vertical="top" wrapText="1"/>
    </xf>
    <xf numFmtId="0" fontId="10" fillId="24" borderId="3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indent="1"/>
    </xf>
    <xf numFmtId="167" fontId="13" fillId="0" borderId="0" xfId="28" applyNumberFormat="1" applyFont="1"/>
    <xf numFmtId="0" fontId="13" fillId="0" borderId="0" xfId="0" applyFont="1" applyAlignment="1">
      <alignment horizontal="center"/>
    </xf>
    <xf numFmtId="0" fontId="40" fillId="0" borderId="26" xfId="0" applyFont="1" applyFill="1" applyBorder="1" applyAlignment="1">
      <alignment horizontal="left" vertical="top" wrapText="1" indent="3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68" fontId="9" fillId="0" borderId="0" xfId="0" applyNumberFormat="1" applyFont="1" applyFill="1"/>
    <xf numFmtId="0" fontId="13" fillId="0" borderId="0" xfId="0" applyFont="1" applyFill="1" applyBorder="1" applyAlignment="1" applyProtection="1">
      <alignment horizontal="right"/>
    </xf>
    <xf numFmtId="169" fontId="10" fillId="0" borderId="0" xfId="42" applyNumberFormat="1" applyFont="1" applyFill="1" applyBorder="1" applyAlignment="1">
      <alignment horizontal="center" vertical="top" wrapText="1"/>
    </xf>
    <xf numFmtId="173" fontId="10" fillId="0" borderId="25" xfId="0" applyNumberFormat="1" applyFont="1" applyBorder="1"/>
    <xf numFmtId="173" fontId="10" fillId="0" borderId="23" xfId="0" applyNumberFormat="1" applyFont="1" applyBorder="1"/>
    <xf numFmtId="173" fontId="10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2" fillId="0" borderId="15" xfId="0" applyNumberFormat="1" applyFont="1" applyBorder="1"/>
    <xf numFmtId="0" fontId="13" fillId="0" borderId="0" xfId="0" applyNumberFormat="1" applyFont="1" applyBorder="1" applyProtection="1"/>
    <xf numFmtId="173" fontId="9" fillId="0" borderId="37" xfId="0" applyNumberFormat="1" applyFont="1" applyBorder="1" applyProtection="1"/>
    <xf numFmtId="173" fontId="9" fillId="0" borderId="26" xfId="0" applyNumberFormat="1" applyFont="1" applyBorder="1" applyProtection="1"/>
    <xf numFmtId="173" fontId="9" fillId="0" borderId="22" xfId="0" applyNumberFormat="1" applyFont="1" applyBorder="1" applyProtection="1"/>
    <xf numFmtId="173" fontId="9" fillId="0" borderId="0" xfId="0" applyNumberFormat="1" applyFont="1" applyBorder="1" applyProtection="1"/>
    <xf numFmtId="173" fontId="9" fillId="0" borderId="13" xfId="0" applyNumberFormat="1" applyFont="1" applyBorder="1" applyProtection="1"/>
    <xf numFmtId="173" fontId="9" fillId="0" borderId="23" xfId="0" applyNumberFormat="1" applyFont="1" applyBorder="1"/>
    <xf numFmtId="9" fontId="9" fillId="0" borderId="23" xfId="42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9" fillId="0" borderId="43" xfId="0" applyNumberFormat="1" applyFont="1" applyBorder="1" applyAlignment="1" applyProtection="1">
      <alignment horizontal="center"/>
      <protection locked="0"/>
    </xf>
    <xf numFmtId="9" fontId="10" fillId="0" borderId="22" xfId="42" applyFont="1" applyFill="1" applyBorder="1" applyAlignment="1">
      <alignment horizontal="center"/>
    </xf>
    <xf numFmtId="169" fontId="10" fillId="25" borderId="29" xfId="42" applyNumberFormat="1" applyFont="1" applyFill="1" applyBorder="1" applyAlignment="1">
      <alignment horizontal="center" vertical="top" wrapText="1"/>
    </xf>
    <xf numFmtId="169" fontId="10" fillId="0" borderId="22" xfId="0" applyNumberFormat="1" applyFont="1" applyBorder="1" applyAlignment="1">
      <alignment horizontal="center"/>
    </xf>
    <xf numFmtId="169" fontId="9" fillId="0" borderId="22" xfId="42" applyNumberFormat="1" applyFont="1" applyBorder="1" applyAlignment="1">
      <alignment horizontal="center"/>
    </xf>
    <xf numFmtId="169" fontId="10" fillId="0" borderId="31" xfId="0" applyNumberFormat="1" applyFont="1" applyBorder="1"/>
    <xf numFmtId="169" fontId="9" fillId="0" borderId="22" xfId="0" applyNumberFormat="1" applyFont="1" applyBorder="1"/>
    <xf numFmtId="169" fontId="10" fillId="0" borderId="43" xfId="42" applyNumberFormat="1" applyFont="1" applyBorder="1" applyAlignment="1">
      <alignment horizontal="center"/>
    </xf>
    <xf numFmtId="169" fontId="10" fillId="0" borderId="29" xfId="42" applyNumberFormat="1" applyFont="1" applyBorder="1" applyAlignment="1">
      <alignment horizontal="center"/>
    </xf>
    <xf numFmtId="173" fontId="10" fillId="0" borderId="47" xfId="42" applyNumberFormat="1" applyFont="1" applyFill="1" applyBorder="1"/>
    <xf numFmtId="0" fontId="5" fillId="32" borderId="39" xfId="0" applyFont="1" applyFill="1" applyBorder="1" applyAlignment="1" applyProtection="1">
      <alignment horizontal="center"/>
      <protection locked="0"/>
    </xf>
    <xf numFmtId="17" fontId="5" fillId="32" borderId="12" xfId="0" quotePrefix="1" applyNumberFormat="1" applyFont="1" applyFill="1" applyBorder="1" applyProtection="1">
      <protection locked="0"/>
    </xf>
    <xf numFmtId="0" fontId="5" fillId="32" borderId="12" xfId="0" applyFont="1" applyFill="1" applyBorder="1" applyProtection="1">
      <protection locked="0"/>
    </xf>
    <xf numFmtId="0" fontId="5" fillId="32" borderId="65" xfId="0" applyFont="1" applyFill="1" applyBorder="1" applyProtection="1">
      <protection locked="0"/>
    </xf>
    <xf numFmtId="0" fontId="5" fillId="32" borderId="10" xfId="0" applyFont="1" applyFill="1" applyBorder="1" applyAlignment="1" applyProtection="1">
      <alignment horizontal="center"/>
      <protection locked="0"/>
    </xf>
    <xf numFmtId="0" fontId="5" fillId="32" borderId="0" xfId="0" applyFont="1" applyFill="1" applyBorder="1" applyProtection="1">
      <protection locked="0"/>
    </xf>
    <xf numFmtId="0" fontId="5" fillId="32" borderId="13" xfId="0" applyFont="1" applyFill="1" applyBorder="1" applyProtection="1">
      <protection locked="0"/>
    </xf>
    <xf numFmtId="0" fontId="5" fillId="32" borderId="13" xfId="0" applyFont="1" applyFill="1" applyBorder="1" applyAlignment="1" applyProtection="1">
      <alignment horizontal="center"/>
      <protection locked="0"/>
    </xf>
    <xf numFmtId="0" fontId="6" fillId="32" borderId="72" xfId="0" applyFont="1" applyFill="1" applyBorder="1" applyAlignment="1" applyProtection="1">
      <alignment horizontal="center"/>
      <protection locked="0"/>
    </xf>
    <xf numFmtId="0" fontId="5" fillId="32" borderId="0" xfId="0" applyFont="1" applyFill="1" applyAlignment="1" applyProtection="1">
      <alignment horizontal="center"/>
      <protection locked="0"/>
    </xf>
    <xf numFmtId="0" fontId="5" fillId="32" borderId="0" xfId="0" applyFont="1" applyFill="1" applyProtection="1">
      <protection locked="0"/>
    </xf>
    <xf numFmtId="0" fontId="5" fillId="32" borderId="0" xfId="0" applyFont="1" applyFill="1" applyAlignment="1" applyProtection="1">
      <alignment horizontal="left"/>
      <protection locked="0"/>
    </xf>
    <xf numFmtId="173" fontId="9" fillId="32" borderId="22" xfId="0" applyNumberFormat="1" applyFont="1" applyFill="1" applyBorder="1" applyProtection="1">
      <protection locked="0"/>
    </xf>
    <xf numFmtId="173" fontId="9" fillId="32" borderId="43" xfId="0" applyNumberFormat="1" applyFont="1" applyFill="1" applyBorder="1" applyProtection="1">
      <protection locked="0"/>
    </xf>
    <xf numFmtId="173" fontId="9" fillId="32" borderId="46" xfId="0" applyNumberFormat="1" applyFont="1" applyFill="1" applyBorder="1" applyProtection="1">
      <protection locked="0"/>
    </xf>
    <xf numFmtId="173" fontId="9" fillId="32" borderId="49" xfId="0" applyNumberFormat="1" applyFont="1" applyFill="1" applyBorder="1" applyProtection="1">
      <protection locked="0"/>
    </xf>
    <xf numFmtId="173" fontId="10" fillId="32" borderId="43" xfId="0" applyNumberFormat="1" applyFont="1" applyFill="1" applyBorder="1" applyProtection="1">
      <protection locked="0"/>
    </xf>
    <xf numFmtId="173" fontId="10" fillId="32" borderId="49" xfId="0" applyNumberFormat="1" applyFont="1" applyFill="1" applyBorder="1" applyProtection="1">
      <protection locked="0"/>
    </xf>
    <xf numFmtId="173" fontId="9" fillId="32" borderId="37" xfId="0" applyNumberFormat="1" applyFont="1" applyFill="1" applyBorder="1" applyAlignment="1" applyProtection="1">
      <alignment horizontal="right"/>
      <protection locked="0"/>
    </xf>
    <xf numFmtId="173" fontId="9" fillId="32" borderId="26" xfId="0" applyNumberFormat="1" applyFont="1" applyFill="1" applyBorder="1" applyAlignment="1" applyProtection="1">
      <alignment horizontal="right"/>
      <protection locked="0"/>
    </xf>
    <xf numFmtId="173" fontId="9" fillId="32" borderId="22" xfId="0" applyNumberFormat="1" applyFont="1" applyFill="1" applyBorder="1" applyAlignment="1" applyProtection="1">
      <alignment horizontal="right"/>
      <protection locked="0"/>
    </xf>
    <xf numFmtId="173" fontId="9" fillId="32" borderId="0" xfId="0" applyNumberFormat="1" applyFont="1" applyFill="1" applyBorder="1" applyAlignment="1" applyProtection="1">
      <alignment horizontal="right"/>
      <protection locked="0"/>
    </xf>
    <xf numFmtId="173" fontId="9" fillId="32" borderId="13" xfId="0" applyNumberFormat="1" applyFont="1" applyFill="1" applyBorder="1" applyAlignment="1" applyProtection="1">
      <alignment horizontal="right"/>
      <protection locked="0"/>
    </xf>
    <xf numFmtId="173" fontId="9" fillId="32" borderId="37" xfId="0" applyNumberFormat="1" applyFont="1" applyFill="1" applyBorder="1" applyProtection="1">
      <protection locked="0"/>
    </xf>
    <xf numFmtId="173" fontId="9" fillId="32" borderId="26" xfId="0" applyNumberFormat="1" applyFont="1" applyFill="1" applyBorder="1" applyProtection="1">
      <protection locked="0"/>
    </xf>
    <xf numFmtId="173" fontId="9" fillId="32" borderId="0" xfId="0" applyNumberFormat="1" applyFont="1" applyFill="1" applyBorder="1" applyProtection="1">
      <protection locked="0"/>
    </xf>
    <xf numFmtId="173" fontId="9" fillId="32" borderId="13" xfId="0" applyNumberFormat="1" applyFont="1" applyFill="1" applyBorder="1" applyProtection="1">
      <protection locked="0"/>
    </xf>
    <xf numFmtId="173" fontId="9" fillId="32" borderId="10" xfId="0" applyNumberFormat="1" applyFont="1" applyFill="1" applyBorder="1" applyProtection="1">
      <protection locked="0"/>
    </xf>
    <xf numFmtId="173" fontId="9" fillId="32" borderId="54" xfId="0" applyNumberFormat="1" applyFont="1" applyFill="1" applyBorder="1" applyProtection="1">
      <protection locked="0"/>
    </xf>
    <xf numFmtId="173" fontId="9" fillId="32" borderId="66" xfId="0" applyNumberFormat="1" applyFont="1" applyFill="1" applyBorder="1" applyProtection="1">
      <protection locked="0"/>
    </xf>
    <xf numFmtId="173" fontId="9" fillId="32" borderId="36" xfId="0" applyNumberFormat="1" applyFont="1" applyFill="1" applyBorder="1" applyProtection="1">
      <protection locked="0"/>
    </xf>
    <xf numFmtId="173" fontId="9" fillId="32" borderId="51" xfId="0" applyNumberFormat="1" applyFont="1" applyFill="1" applyBorder="1" applyProtection="1">
      <protection locked="0"/>
    </xf>
    <xf numFmtId="173" fontId="9" fillId="32" borderId="45" xfId="0" applyNumberFormat="1" applyFont="1" applyFill="1" applyBorder="1" applyProtection="1">
      <protection locked="0"/>
    </xf>
    <xf numFmtId="173" fontId="9" fillId="32" borderId="46" xfId="28" applyNumberFormat="1" applyFont="1" applyFill="1" applyBorder="1" applyProtection="1">
      <protection locked="0"/>
    </xf>
    <xf numFmtId="173" fontId="9" fillId="32" borderId="45" xfId="28" applyNumberFormat="1" applyFont="1" applyFill="1" applyBorder="1" applyProtection="1">
      <protection locked="0"/>
    </xf>
    <xf numFmtId="173" fontId="9" fillId="32" borderId="22" xfId="28" applyNumberFormat="1" applyFont="1" applyFill="1" applyBorder="1" applyProtection="1">
      <protection locked="0"/>
    </xf>
    <xf numFmtId="173" fontId="9" fillId="32" borderId="62" xfId="0" applyNumberFormat="1" applyFont="1" applyFill="1" applyBorder="1" applyProtection="1">
      <protection locked="0"/>
    </xf>
    <xf numFmtId="0" fontId="9" fillId="32" borderId="10" xfId="0" applyFont="1" applyFill="1" applyBorder="1" applyProtection="1">
      <protection locked="0"/>
    </xf>
    <xf numFmtId="0" fontId="9" fillId="32" borderId="19" xfId="0" applyFont="1" applyFill="1" applyBorder="1" applyProtection="1">
      <protection locked="0"/>
    </xf>
    <xf numFmtId="173" fontId="9" fillId="32" borderId="19" xfId="0" applyNumberFormat="1" applyFont="1" applyFill="1" applyBorder="1" applyProtection="1">
      <protection locked="0"/>
    </xf>
    <xf numFmtId="169" fontId="9" fillId="32" borderId="10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45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22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46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19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58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24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50" xfId="42" applyNumberFormat="1" applyFont="1" applyFill="1" applyBorder="1" applyAlignment="1" applyProtection="1">
      <alignment horizontal="center" vertical="top" wrapText="1"/>
      <protection locked="0"/>
    </xf>
    <xf numFmtId="170" fontId="9" fillId="32" borderId="0" xfId="0" applyNumberFormat="1" applyFont="1" applyFill="1" applyBorder="1" applyProtection="1">
      <protection locked="0"/>
    </xf>
    <xf numFmtId="170" fontId="9" fillId="32" borderId="13" xfId="0" applyNumberFormat="1" applyFont="1" applyFill="1" applyBorder="1" applyProtection="1">
      <protection locked="0"/>
    </xf>
    <xf numFmtId="170" fontId="9" fillId="32" borderId="0" xfId="28" applyNumberFormat="1" applyFont="1" applyFill="1" applyBorder="1" applyProtection="1">
      <protection locked="0"/>
    </xf>
    <xf numFmtId="170" fontId="9" fillId="32" borderId="13" xfId="28" applyNumberFormat="1" applyFont="1" applyFill="1" applyBorder="1" applyProtection="1">
      <protection locked="0"/>
    </xf>
    <xf numFmtId="170" fontId="9" fillId="32" borderId="14" xfId="28" applyNumberFormat="1" applyFont="1" applyFill="1" applyBorder="1" applyProtection="1">
      <protection locked="0"/>
    </xf>
    <xf numFmtId="170" fontId="9" fillId="32" borderId="14" xfId="0" applyNumberFormat="1" applyFont="1" applyFill="1" applyBorder="1" applyProtection="1">
      <protection locked="0"/>
    </xf>
    <xf numFmtId="170" fontId="9" fillId="32" borderId="17" xfId="0" applyNumberFormat="1" applyFont="1" applyFill="1" applyBorder="1" applyProtection="1">
      <protection locked="0"/>
    </xf>
    <xf numFmtId="0" fontId="9" fillId="32" borderId="11" xfId="0" applyFont="1" applyFill="1" applyBorder="1" applyProtection="1">
      <protection locked="0"/>
    </xf>
    <xf numFmtId="0" fontId="9" fillId="32" borderId="11" xfId="0" applyNumberFormat="1" applyFont="1" applyFill="1" applyBorder="1" applyAlignment="1" applyProtection="1">
      <alignment horizontal="left" indent="1"/>
      <protection locked="0"/>
    </xf>
    <xf numFmtId="0" fontId="9" fillId="32" borderId="11" xfId="0" applyFont="1" applyFill="1" applyBorder="1" applyAlignment="1" applyProtection="1">
      <alignment horizontal="left" indent="2"/>
      <protection locked="0"/>
    </xf>
    <xf numFmtId="173" fontId="9" fillId="32" borderId="67" xfId="0" applyNumberFormat="1" applyFont="1" applyFill="1" applyBorder="1" applyProtection="1">
      <protection locked="0"/>
    </xf>
    <xf numFmtId="173" fontId="9" fillId="32" borderId="52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2"/>
      <protection locked="0"/>
    </xf>
    <xf numFmtId="0" fontId="9" fillId="32" borderId="0" xfId="0" applyFont="1" applyFill="1" applyProtection="1">
      <protection locked="0"/>
    </xf>
    <xf numFmtId="173" fontId="10" fillId="32" borderId="67" xfId="0" applyNumberFormat="1" applyFont="1" applyFill="1" applyBorder="1" applyProtection="1">
      <protection locked="0"/>
    </xf>
    <xf numFmtId="173" fontId="10" fillId="32" borderId="52" xfId="0" applyNumberFormat="1" applyFont="1" applyFill="1" applyBorder="1" applyProtection="1">
      <protection locked="0"/>
    </xf>
    <xf numFmtId="0" fontId="13" fillId="32" borderId="0" xfId="0" applyFont="1" applyFill="1" applyBorder="1" applyAlignment="1" applyProtection="1">
      <alignment horizontal="left" indent="2"/>
      <protection locked="0"/>
    </xf>
    <xf numFmtId="173" fontId="10" fillId="32" borderId="10" xfId="0" applyNumberFormat="1" applyFont="1" applyFill="1" applyBorder="1" applyProtection="1">
      <protection locked="0"/>
    </xf>
    <xf numFmtId="173" fontId="10" fillId="32" borderId="26" xfId="0" applyNumberFormat="1" applyFont="1" applyFill="1" applyBorder="1" applyProtection="1">
      <protection locked="0"/>
    </xf>
    <xf numFmtId="173" fontId="10" fillId="32" borderId="22" xfId="0" applyNumberFormat="1" applyFont="1" applyFill="1" applyBorder="1" applyProtection="1">
      <protection locked="0"/>
    </xf>
    <xf numFmtId="173" fontId="10" fillId="32" borderId="46" xfId="0" applyNumberFormat="1" applyFont="1" applyFill="1" applyBorder="1" applyProtection="1">
      <protection locked="0"/>
    </xf>
    <xf numFmtId="0" fontId="10" fillId="32" borderId="62" xfId="0" applyFont="1" applyFill="1" applyBorder="1" applyAlignment="1" applyProtection="1">
      <alignment horizontal="center" vertical="center"/>
      <protection locked="0"/>
    </xf>
    <xf numFmtId="0" fontId="10" fillId="32" borderId="36" xfId="0" applyFont="1" applyFill="1" applyBorder="1" applyAlignment="1" applyProtection="1">
      <alignment horizontal="center" vertical="center"/>
      <protection locked="0"/>
    </xf>
    <xf numFmtId="0" fontId="10" fillId="32" borderId="81" xfId="0" applyFont="1" applyFill="1" applyBorder="1" applyAlignment="1" applyProtection="1">
      <alignment horizontal="center" vertical="center"/>
      <protection locked="0"/>
    </xf>
    <xf numFmtId="0" fontId="13" fillId="32" borderId="11" xfId="0" applyFont="1" applyFill="1" applyBorder="1" applyProtection="1">
      <protection locked="0"/>
    </xf>
    <xf numFmtId="173" fontId="10" fillId="32" borderId="54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1"/>
      <protection locked="0"/>
    </xf>
    <xf numFmtId="173" fontId="9" fillId="32" borderId="33" xfId="0" applyNumberFormat="1" applyFont="1" applyFill="1" applyBorder="1" applyProtection="1">
      <protection locked="0"/>
    </xf>
    <xf numFmtId="173" fontId="9" fillId="32" borderId="24" xfId="0" applyNumberFormat="1" applyFont="1" applyFill="1" applyBorder="1" applyProtection="1">
      <protection locked="0"/>
    </xf>
    <xf numFmtId="173" fontId="9" fillId="32" borderId="50" xfId="0" applyNumberFormat="1" applyFont="1" applyFill="1" applyBorder="1" applyProtection="1">
      <protection locked="0"/>
    </xf>
    <xf numFmtId="12" fontId="9" fillId="32" borderId="82" xfId="0" applyNumberFormat="1" applyFont="1" applyFill="1" applyBorder="1" applyProtection="1">
      <protection locked="0"/>
    </xf>
    <xf numFmtId="12" fontId="9" fillId="32" borderId="83" xfId="0" applyNumberFormat="1" applyFont="1" applyFill="1" applyBorder="1" applyProtection="1">
      <protection locked="0"/>
    </xf>
    <xf numFmtId="12" fontId="9" fillId="32" borderId="84" xfId="0" applyNumberFormat="1" applyFont="1" applyFill="1" applyBorder="1" applyProtection="1">
      <protection locked="0"/>
    </xf>
    <xf numFmtId="173" fontId="9" fillId="0" borderId="72" xfId="0" applyNumberFormat="1" applyFont="1" applyBorder="1"/>
    <xf numFmtId="0" fontId="48" fillId="33" borderId="0" xfId="0" applyFont="1" applyFill="1" applyProtection="1"/>
    <xf numFmtId="0" fontId="40" fillId="33" borderId="0" xfId="0" applyFont="1" applyFill="1" applyProtection="1">
      <protection locked="0"/>
    </xf>
    <xf numFmtId="0" fontId="48" fillId="33" borderId="0" xfId="0" applyFont="1" applyFill="1" applyAlignment="1" applyProtection="1">
      <alignment horizontal="right"/>
    </xf>
    <xf numFmtId="0" fontId="48" fillId="33" borderId="11" xfId="0" applyFont="1" applyFill="1" applyBorder="1" applyAlignment="1" applyProtection="1">
      <alignment horizontal="left" indent="1"/>
      <protection locked="0"/>
    </xf>
    <xf numFmtId="0" fontId="40" fillId="32" borderId="0" xfId="0" applyFont="1" applyFill="1" applyAlignment="1" applyProtection="1">
      <alignment horizontal="left" indent="1"/>
      <protection locked="0"/>
    </xf>
    <xf numFmtId="49" fontId="48" fillId="33" borderId="0" xfId="0" applyNumberFormat="1" applyFont="1" applyFill="1" applyAlignment="1" applyProtection="1">
      <alignment horizontal="right"/>
    </xf>
    <xf numFmtId="0" fontId="43" fillId="32" borderId="72" xfId="0" applyFont="1" applyFill="1" applyBorder="1" applyProtection="1">
      <protection locked="0"/>
    </xf>
    <xf numFmtId="49" fontId="49" fillId="33" borderId="0" xfId="0" applyNumberFormat="1" applyFont="1" applyFill="1" applyAlignment="1" applyProtection="1">
      <alignment horizontal="right"/>
    </xf>
    <xf numFmtId="0" fontId="49" fillId="33" borderId="0" xfId="0" applyFont="1" applyFill="1" applyAlignment="1" applyProtection="1">
      <alignment horizontal="right"/>
    </xf>
    <xf numFmtId="0" fontId="48" fillId="33" borderId="0" xfId="0" applyFont="1" applyFill="1" applyProtection="1">
      <protection locked="0"/>
    </xf>
    <xf numFmtId="0" fontId="50" fillId="33" borderId="0" xfId="0" applyFont="1" applyFill="1" applyProtection="1"/>
    <xf numFmtId="0" fontId="44" fillId="33" borderId="0" xfId="0" applyFont="1" applyFill="1" applyProtection="1"/>
    <xf numFmtId="0" fontId="51" fillId="33" borderId="0" xfId="0" applyFont="1" applyFill="1" applyAlignment="1" applyProtection="1">
      <alignment horizontal="right"/>
    </xf>
    <xf numFmtId="0" fontId="9" fillId="0" borderId="26" xfId="0" applyFont="1" applyFill="1" applyBorder="1" applyAlignment="1" applyProtection="1">
      <alignment horizontal="left" indent="1"/>
    </xf>
    <xf numFmtId="0" fontId="10" fillId="0" borderId="26" xfId="0" applyFont="1" applyFill="1" applyBorder="1" applyAlignment="1" applyProtection="1">
      <alignment horizontal="left" indent="1"/>
    </xf>
    <xf numFmtId="0" fontId="19" fillId="0" borderId="1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Border="1" applyProtection="1">
      <protection hidden="1"/>
    </xf>
    <xf numFmtId="0" fontId="19" fillId="0" borderId="13" xfId="0" applyFont="1" applyBorder="1" applyProtection="1">
      <protection hidden="1"/>
    </xf>
    <xf numFmtId="0" fontId="45" fillId="0" borderId="0" xfId="0" applyFont="1" applyBorder="1" applyProtection="1">
      <protection hidden="1"/>
    </xf>
    <xf numFmtId="0" fontId="46" fillId="0" borderId="13" xfId="0" applyFont="1" applyBorder="1" applyProtection="1">
      <protection hidden="1"/>
    </xf>
    <xf numFmtId="0" fontId="8" fillId="0" borderId="85" xfId="0" applyFont="1" applyBorder="1" applyAlignment="1" applyProtection="1">
      <alignment horizontal="left" vertical="top" wrapText="1"/>
    </xf>
    <xf numFmtId="0" fontId="8" fillId="32" borderId="86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quotePrefix="1" applyNumberFormat="1" applyFont="1" applyProtection="1"/>
    <xf numFmtId="0" fontId="19" fillId="0" borderId="0" xfId="0" applyFont="1" applyAlignment="1">
      <alignment wrapText="1"/>
    </xf>
    <xf numFmtId="0" fontId="19" fillId="0" borderId="0" xfId="0" applyNumberFormat="1" applyFont="1" applyProtection="1"/>
    <xf numFmtId="0" fontId="8" fillId="0" borderId="16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vertical="center"/>
    </xf>
    <xf numFmtId="0" fontId="8" fillId="0" borderId="15" xfId="0" applyFont="1" applyBorder="1" applyAlignment="1">
      <alignment vertical="center"/>
    </xf>
    <xf numFmtId="0" fontId="19" fillId="32" borderId="65" xfId="0" applyFont="1" applyFill="1" applyBorder="1" applyAlignment="1" applyProtection="1">
      <alignment vertical="center"/>
      <protection locked="0"/>
    </xf>
    <xf numFmtId="0" fontId="13" fillId="0" borderId="0" xfId="36" applyFont="1" applyAlignment="1" applyProtection="1"/>
    <xf numFmtId="0" fontId="19" fillId="0" borderId="0" xfId="0" applyFont="1" applyBorder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8" fillId="0" borderId="1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6" xfId="0" applyFont="1" applyFill="1" applyBorder="1" applyAlignment="1" applyProtection="1">
      <alignment horizontal="justify" vertical="center" wrapText="1"/>
    </xf>
    <xf numFmtId="0" fontId="8" fillId="0" borderId="17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19" fillId="0" borderId="0" xfId="36" applyFont="1" applyBorder="1" applyAlignment="1" applyProtection="1"/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justify" vertical="top" wrapText="1"/>
    </xf>
    <xf numFmtId="0" fontId="8" fillId="0" borderId="17" xfId="0" applyFont="1" applyBorder="1" applyAlignment="1" applyProtection="1">
      <alignment horizontal="justify" vertical="top" wrapText="1"/>
    </xf>
    <xf numFmtId="0" fontId="8" fillId="32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19" fillId="0" borderId="16" xfId="0" applyFont="1" applyBorder="1" applyAlignment="1" applyProtection="1">
      <alignment horizontal="justify" vertical="top" wrapText="1"/>
    </xf>
    <xf numFmtId="0" fontId="19" fillId="0" borderId="17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85" xfId="0" applyFont="1" applyBorder="1" applyAlignment="1" applyProtection="1">
      <alignment horizontal="justify" wrapText="1"/>
    </xf>
    <xf numFmtId="0" fontId="19" fillId="0" borderId="86" xfId="0" applyFont="1" applyBorder="1" applyAlignment="1" applyProtection="1">
      <alignment horizontal="justify" wrapText="1"/>
    </xf>
    <xf numFmtId="0" fontId="19" fillId="0" borderId="68" xfId="0" applyFont="1" applyBorder="1" applyAlignment="1" applyProtection="1">
      <alignment horizontal="justify" wrapText="1"/>
    </xf>
    <xf numFmtId="0" fontId="19" fillId="32" borderId="18" xfId="0" applyFont="1" applyFill="1" applyBorder="1" applyAlignment="1" applyProtection="1">
      <alignment horizontal="justify" wrapText="1"/>
      <protection locked="0"/>
    </xf>
    <xf numFmtId="0" fontId="19" fillId="0" borderId="15" xfId="0" applyFont="1" applyBorder="1" applyAlignment="1" applyProtection="1">
      <alignment horizontal="justify" wrapText="1"/>
    </xf>
    <xf numFmtId="176" fontId="19" fillId="32" borderId="65" xfId="0" applyNumberFormat="1" applyFont="1" applyFill="1" applyBorder="1" applyAlignment="1" applyProtection="1">
      <alignment horizontal="justify" wrapText="1"/>
      <protection locked="0"/>
    </xf>
    <xf numFmtId="0" fontId="19" fillId="0" borderId="16" xfId="0" applyFont="1" applyFill="1" applyBorder="1" applyAlignment="1" applyProtection="1">
      <alignment horizontal="justify" wrapText="1"/>
    </xf>
    <xf numFmtId="176" fontId="19" fillId="0" borderId="17" xfId="0" applyNumberFormat="1" applyFont="1" applyFill="1" applyBorder="1" applyAlignment="1" applyProtection="1">
      <alignment horizontal="justify" wrapText="1"/>
      <protection locked="0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 applyProtection="1">
      <alignment horizontal="justify" wrapText="1"/>
    </xf>
    <xf numFmtId="0" fontId="19" fillId="0" borderId="0" xfId="0" applyFont="1" applyFill="1" applyProtection="1">
      <protection hidden="1"/>
    </xf>
    <xf numFmtId="0" fontId="19" fillId="0" borderId="18" xfId="0" applyFont="1" applyFill="1" applyBorder="1" applyAlignment="1" applyProtection="1">
      <alignment horizontal="justify" wrapText="1"/>
    </xf>
    <xf numFmtId="0" fontId="19" fillId="32" borderId="65" xfId="0" applyFont="1" applyFill="1" applyBorder="1" applyAlignment="1" applyProtection="1">
      <alignment horizontal="justify" wrapText="1"/>
      <protection locked="0"/>
    </xf>
    <xf numFmtId="0" fontId="19" fillId="0" borderId="17" xfId="0" applyFont="1" applyFill="1" applyBorder="1" applyAlignment="1" applyProtection="1">
      <alignment horizontal="justify" wrapText="1"/>
      <protection locked="0"/>
    </xf>
    <xf numFmtId="0" fontId="19" fillId="32" borderId="18" xfId="0" applyNumberFormat="1" applyFont="1" applyFill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</xf>
    <xf numFmtId="0" fontId="19" fillId="32" borderId="13" xfId="0" applyFont="1" applyFill="1" applyBorder="1" applyAlignment="1" applyProtection="1">
      <alignment horizontal="justify" wrapText="1"/>
      <protection locked="0"/>
    </xf>
    <xf numFmtId="0" fontId="8" fillId="0" borderId="0" xfId="0" applyFont="1" applyBorder="1" applyProtection="1"/>
    <xf numFmtId="0" fontId="8" fillId="0" borderId="0" xfId="0" quotePrefix="1" applyNumberFormat="1" applyFont="1" applyBorder="1" applyProtection="1"/>
    <xf numFmtId="0" fontId="19" fillId="0" borderId="0" xfId="0" applyFont="1" applyBorder="1" applyProtection="1"/>
    <xf numFmtId="0" fontId="8" fillId="0" borderId="68" xfId="0" applyFont="1" applyBorder="1" applyAlignment="1" applyProtection="1">
      <alignment horizontal="left"/>
    </xf>
    <xf numFmtId="0" fontId="19" fillId="0" borderId="0" xfId="0" applyFont="1" applyBorder="1"/>
    <xf numFmtId="0" fontId="19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13" fillId="0" borderId="0" xfId="0" applyFont="1" applyProtection="1">
      <protection hidden="1"/>
    </xf>
    <xf numFmtId="0" fontId="19" fillId="0" borderId="0" xfId="36" applyFont="1" applyAlignment="1" applyProtection="1">
      <protection hidden="1"/>
    </xf>
    <xf numFmtId="0" fontId="47" fillId="0" borderId="0" xfId="36" applyFont="1" applyAlignment="1" applyProtection="1">
      <protection hidden="1"/>
    </xf>
    <xf numFmtId="0" fontId="19" fillId="0" borderId="0" xfId="0" applyFont="1" applyProtection="1">
      <protection locked="0" hidden="1"/>
    </xf>
    <xf numFmtId="0" fontId="19" fillId="0" borderId="0" xfId="0" applyFont="1" applyProtection="1">
      <protection locked="0"/>
    </xf>
    <xf numFmtId="0" fontId="47" fillId="0" borderId="0" xfId="36" applyFont="1" applyAlignment="1" applyProtection="1">
      <protection locked="0" hidden="1"/>
    </xf>
    <xf numFmtId="0" fontId="19" fillId="0" borderId="0" xfId="0" applyFont="1" applyFill="1" applyProtection="1"/>
    <xf numFmtId="0" fontId="9" fillId="0" borderId="11" xfId="0" applyFont="1" applyBorder="1" applyProtection="1"/>
    <xf numFmtId="0" fontId="10" fillId="0" borderId="27" xfId="0" applyFont="1" applyBorder="1" applyProtection="1"/>
    <xf numFmtId="173" fontId="10" fillId="0" borderId="22" xfId="0" applyNumberFormat="1" applyFont="1" applyBorder="1" applyProtection="1"/>
    <xf numFmtId="173" fontId="10" fillId="0" borderId="45" xfId="0" applyNumberFormat="1" applyFont="1" applyBorder="1" applyProtection="1"/>
    <xf numFmtId="173" fontId="10" fillId="0" borderId="46" xfId="0" applyNumberFormat="1" applyFont="1" applyBorder="1" applyProtection="1"/>
    <xf numFmtId="0" fontId="13" fillId="0" borderId="0" xfId="0" applyNumberFormat="1" applyFont="1" applyFill="1" applyBorder="1" applyProtection="1"/>
    <xf numFmtId="9" fontId="10" fillId="0" borderId="29" xfId="0" applyNumberFormat="1" applyFont="1" applyBorder="1"/>
    <xf numFmtId="0" fontId="39" fillId="0" borderId="0" xfId="0" applyFont="1"/>
    <xf numFmtId="0" fontId="39" fillId="0" borderId="0" xfId="0" applyNumberFormat="1" applyFont="1" applyProtection="1"/>
    <xf numFmtId="0" fontId="39" fillId="0" borderId="0" xfId="0" applyFont="1" applyAlignment="1" applyProtection="1">
      <alignment vertical="center"/>
    </xf>
    <xf numFmtId="0" fontId="39" fillId="0" borderId="0" xfId="0" applyFont="1" applyProtection="1"/>
    <xf numFmtId="0" fontId="0" fillId="0" borderId="0" xfId="0" applyFont="1" applyProtection="1"/>
    <xf numFmtId="0" fontId="5" fillId="0" borderId="0" xfId="0" applyFont="1" applyAlignment="1">
      <alignment horizontal="left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vertical="center" wrapText="1"/>
    </xf>
    <xf numFmtId="12" fontId="9" fillId="32" borderId="18" xfId="0" applyNumberFormat="1" applyFont="1" applyFill="1" applyBorder="1" applyProtection="1">
      <protection locked="0"/>
    </xf>
    <xf numFmtId="173" fontId="9" fillId="0" borderId="39" xfId="0" applyNumberFormat="1" applyFont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9" fillId="0" borderId="36" xfId="0" applyNumberFormat="1" applyFont="1" applyBorder="1"/>
    <xf numFmtId="9" fontId="10" fillId="0" borderId="49" xfId="42" applyFont="1" applyFill="1" applyBorder="1" applyAlignment="1">
      <alignment horizontal="center" vertical="center" wrapText="1"/>
    </xf>
    <xf numFmtId="9" fontId="10" fillId="0" borderId="51" xfId="42" applyFont="1" applyFill="1" applyBorder="1" applyAlignment="1">
      <alignment horizontal="center" vertical="center"/>
    </xf>
    <xf numFmtId="169" fontId="10" fillId="0" borderId="46" xfId="42" applyNumberFormat="1" applyFont="1" applyFill="1" applyBorder="1" applyAlignment="1">
      <alignment horizontal="center" wrapText="1"/>
    </xf>
    <xf numFmtId="169" fontId="9" fillId="0" borderId="49" xfId="42" applyNumberFormat="1" applyFont="1" applyFill="1" applyBorder="1" applyAlignment="1">
      <alignment horizontal="center" vertical="top" wrapText="1"/>
    </xf>
    <xf numFmtId="169" fontId="10" fillId="0" borderId="49" xfId="42" applyNumberFormat="1" applyFont="1" applyFill="1" applyBorder="1" applyAlignment="1">
      <alignment horizontal="center" vertical="top" wrapText="1"/>
    </xf>
    <xf numFmtId="169" fontId="10" fillId="0" borderId="47" xfId="42" applyNumberFormat="1" applyFont="1" applyFill="1" applyBorder="1" applyAlignment="1">
      <alignment horizontal="center" vertical="top" wrapText="1"/>
    </xf>
    <xf numFmtId="169" fontId="10" fillId="0" borderId="56" xfId="42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wrapText="1"/>
    </xf>
    <xf numFmtId="173" fontId="9" fillId="0" borderId="11" xfId="0" applyNumberFormat="1" applyFont="1" applyBorder="1"/>
    <xf numFmtId="173" fontId="10" fillId="0" borderId="11" xfId="0" applyNumberFormat="1" applyFont="1" applyBorder="1"/>
    <xf numFmtId="173" fontId="10" fillId="0" borderId="28" xfId="0" applyNumberFormat="1" applyFont="1" applyFill="1" applyBorder="1"/>
    <xf numFmtId="0" fontId="53" fillId="32" borderId="13" xfId="47" applyFill="1" applyBorder="1" applyAlignment="1" applyProtection="1">
      <alignment horizontal="justify" vertical="top" wrapText="1"/>
      <protection locked="0"/>
    </xf>
    <xf numFmtId="49" fontId="19" fillId="32" borderId="18" xfId="0" applyNumberFormat="1" applyFont="1" applyFill="1" applyBorder="1" applyAlignment="1" applyProtection="1">
      <alignment horizontal="justify" wrapText="1"/>
      <protection locked="0"/>
    </xf>
    <xf numFmtId="0" fontId="53" fillId="32" borderId="65" xfId="47" applyFill="1" applyBorder="1" applyAlignment="1" applyProtection="1">
      <alignment horizontal="justify" wrapText="1"/>
      <protection locked="0"/>
    </xf>
    <xf numFmtId="0" fontId="53" fillId="32" borderId="18" xfId="47" applyFill="1" applyBorder="1" applyAlignment="1" applyProtection="1">
      <alignment horizontal="justify" wrapText="1"/>
      <protection locked="0"/>
    </xf>
    <xf numFmtId="164" fontId="9" fillId="32" borderId="22" xfId="0" applyNumberFormat="1" applyFont="1" applyFill="1" applyBorder="1" applyProtection="1">
      <protection locked="0"/>
    </xf>
    <xf numFmtId="164" fontId="10" fillId="0" borderId="31" xfId="0" applyNumberFormat="1" applyFont="1" applyBorder="1" applyAlignment="1">
      <alignment vertical="top"/>
    </xf>
    <xf numFmtId="164" fontId="9" fillId="32" borderId="0" xfId="0" applyNumberFormat="1" applyFont="1" applyFill="1" applyBorder="1" applyProtection="1">
      <protection locked="0"/>
    </xf>
    <xf numFmtId="0" fontId="6" fillId="30" borderId="68" xfId="0" applyFont="1" applyFill="1" applyBorder="1" applyAlignment="1">
      <alignment horizontal="center"/>
    </xf>
    <xf numFmtId="0" fontId="6" fillId="30" borderId="71" xfId="0" applyFont="1" applyFill="1" applyBorder="1" applyAlignment="1">
      <alignment horizontal="center"/>
    </xf>
    <xf numFmtId="0" fontId="6" fillId="30" borderId="18" xfId="0" applyFont="1" applyFill="1" applyBorder="1" applyAlignment="1">
      <alignment horizontal="center"/>
    </xf>
    <xf numFmtId="0" fontId="6" fillId="24" borderId="68" xfId="0" applyFont="1" applyFill="1" applyBorder="1" applyAlignment="1">
      <alignment horizontal="center"/>
    </xf>
    <xf numFmtId="0" fontId="6" fillId="24" borderId="71" xfId="0" applyFont="1" applyFill="1" applyBorder="1" applyAlignment="1">
      <alignment horizontal="center"/>
    </xf>
    <xf numFmtId="0" fontId="6" fillId="31" borderId="68" xfId="0" applyFont="1" applyFill="1" applyBorder="1" applyAlignment="1">
      <alignment horizontal="center"/>
    </xf>
    <xf numFmtId="0" fontId="6" fillId="31" borderId="71" xfId="0" applyFont="1" applyFill="1" applyBorder="1" applyAlignment="1">
      <alignment horizontal="center"/>
    </xf>
    <xf numFmtId="0" fontId="6" fillId="31" borderId="18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45" fillId="0" borderId="87" xfId="0" applyFont="1" applyBorder="1" applyAlignment="1" applyProtection="1">
      <alignment horizontal="justify" vertical="center" wrapText="1"/>
    </xf>
    <xf numFmtId="0" fontId="46" fillId="0" borderId="87" xfId="0" applyFont="1" applyBorder="1" applyAlignment="1">
      <alignment horizontal="justify" vertical="center" wrapText="1"/>
    </xf>
    <xf numFmtId="0" fontId="45" fillId="0" borderId="88" xfId="0" applyFont="1" applyBorder="1" applyAlignment="1" applyProtection="1">
      <alignment horizontal="justify" vertical="center"/>
    </xf>
    <xf numFmtId="0" fontId="19" fillId="0" borderId="89" xfId="0" applyFont="1" applyBorder="1" applyAlignment="1">
      <alignment horizontal="justify" vertical="center"/>
    </xf>
    <xf numFmtId="0" fontId="8" fillId="0" borderId="88" xfId="0" applyFont="1" applyBorder="1" applyAlignment="1" applyProtection="1">
      <alignment horizontal="justify" vertical="center" wrapText="1"/>
    </xf>
    <xf numFmtId="0" fontId="19" fillId="0" borderId="89" xfId="0" applyFont="1" applyBorder="1" applyAlignment="1">
      <alignment horizontal="justify" vertical="center" wrapText="1"/>
    </xf>
    <xf numFmtId="0" fontId="8" fillId="0" borderId="90" xfId="0" applyFont="1" applyBorder="1" applyAlignment="1" applyProtection="1">
      <alignment horizontal="justify" wrapText="1"/>
    </xf>
    <xf numFmtId="0" fontId="19" fillId="0" borderId="91" xfId="0" applyFont="1" applyBorder="1" applyAlignment="1">
      <alignment horizontal="justify" wrapText="1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>
      <alignment horizontal="justify" wrapText="1"/>
    </xf>
    <xf numFmtId="0" fontId="45" fillId="0" borderId="92" xfId="0" applyFont="1" applyBorder="1" applyAlignment="1" applyProtection="1">
      <alignment horizontal="justify" vertical="center" wrapText="1"/>
    </xf>
    <xf numFmtId="0" fontId="46" fillId="0" borderId="93" xfId="0" applyFont="1" applyBorder="1" applyAlignment="1">
      <alignment horizontal="justify" vertical="center" wrapText="1"/>
    </xf>
    <xf numFmtId="0" fontId="8" fillId="0" borderId="92" xfId="0" applyFont="1" applyBorder="1" applyAlignment="1" applyProtection="1">
      <alignment horizontal="justify" vertical="center" wrapText="1"/>
    </xf>
    <xf numFmtId="0" fontId="19" fillId="0" borderId="93" xfId="0" applyFont="1" applyBorder="1" applyAlignment="1">
      <alignment horizontal="justify" vertical="center" wrapText="1"/>
    </xf>
    <xf numFmtId="0" fontId="8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>
      <alignment horizontal="justify" wrapText="1"/>
    </xf>
    <xf numFmtId="0" fontId="8" fillId="0" borderId="15" xfId="0" applyFont="1" applyFill="1" applyBorder="1" applyAlignment="1" applyProtection="1">
      <alignment horizontal="justify" wrapText="1"/>
    </xf>
    <xf numFmtId="0" fontId="19" fillId="0" borderId="65" xfId="0" applyFont="1" applyFill="1" applyBorder="1" applyAlignment="1">
      <alignment horizontal="justify" wrapText="1"/>
    </xf>
    <xf numFmtId="0" fontId="13" fillId="0" borderId="0" xfId="0" applyFont="1" applyFill="1" applyAlignment="1">
      <alignment horizontal="left" wrapText="1"/>
    </xf>
    <xf numFmtId="0" fontId="10" fillId="0" borderId="39" xfId="0" applyFont="1" applyFill="1" applyBorder="1" applyAlignment="1">
      <alignment horizontal="center" vertical="center"/>
    </xf>
    <xf numFmtId="0" fontId="41" fillId="0" borderId="10" xfId="0" applyFont="1" applyBorder="1"/>
    <xf numFmtId="0" fontId="10" fillId="0" borderId="9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 wrapText="1"/>
    </xf>
    <xf numFmtId="0" fontId="41" fillId="0" borderId="71" xfId="0" applyFont="1" applyBorder="1"/>
    <xf numFmtId="0" fontId="41" fillId="0" borderId="18" xfId="0" applyFont="1" applyBorder="1"/>
    <xf numFmtId="0" fontId="10" fillId="0" borderId="5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8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41" fillId="0" borderId="11" xfId="0" applyFont="1" applyBorder="1"/>
    <xf numFmtId="0" fontId="10" fillId="0" borderId="2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51"/>
    <cellStyle name="20% - Accent1 3" xfId="97"/>
    <cellStyle name="20% - Accent2" xfId="2" builtinId="34" customBuiltin="1"/>
    <cellStyle name="20% - Accent2 2" xfId="52"/>
    <cellStyle name="20% - Accent2 3" xfId="98"/>
    <cellStyle name="20% - Accent3" xfId="3" builtinId="38" customBuiltin="1"/>
    <cellStyle name="20% - Accent3 2" xfId="53"/>
    <cellStyle name="20% - Accent3 3" xfId="99"/>
    <cellStyle name="20% - Accent4" xfId="4" builtinId="42" customBuiltin="1"/>
    <cellStyle name="20% - Accent4 2" xfId="54"/>
    <cellStyle name="20% - Accent4 3" xfId="100"/>
    <cellStyle name="20% - Accent5" xfId="5" builtinId="46" customBuiltin="1"/>
    <cellStyle name="20% - Accent5 2" xfId="55"/>
    <cellStyle name="20% - Accent5 3" xfId="101"/>
    <cellStyle name="20% - Accent6" xfId="6" builtinId="50" customBuiltin="1"/>
    <cellStyle name="20% - Accent6 2" xfId="56"/>
    <cellStyle name="20% - Accent6 3" xfId="102"/>
    <cellStyle name="40% - Accent1" xfId="7" builtinId="31" customBuiltin="1"/>
    <cellStyle name="40% - Accent1 2" xfId="57"/>
    <cellStyle name="40% - Accent1 3" xfId="103"/>
    <cellStyle name="40% - Accent2" xfId="8" builtinId="35" customBuiltin="1"/>
    <cellStyle name="40% - Accent2 2" xfId="58"/>
    <cellStyle name="40% - Accent2 3" xfId="104"/>
    <cellStyle name="40% - Accent3" xfId="9" builtinId="39" customBuiltin="1"/>
    <cellStyle name="40% - Accent3 2" xfId="59"/>
    <cellStyle name="40% - Accent3 3" xfId="105"/>
    <cellStyle name="40% - Accent4" xfId="10" builtinId="43" customBuiltin="1"/>
    <cellStyle name="40% - Accent4 2" xfId="60"/>
    <cellStyle name="40% - Accent4 3" xfId="106"/>
    <cellStyle name="40% - Accent5" xfId="11" builtinId="47" customBuiltin="1"/>
    <cellStyle name="40% - Accent5 2" xfId="61"/>
    <cellStyle name="40% - Accent5 3" xfId="107"/>
    <cellStyle name="40% - Accent6" xfId="12" builtinId="51" customBuiltin="1"/>
    <cellStyle name="40% - Accent6 2" xfId="62"/>
    <cellStyle name="40% - Accent6 3" xfId="108"/>
    <cellStyle name="60% - Accent1" xfId="13" builtinId="32" customBuiltin="1"/>
    <cellStyle name="60% - Accent1 2" xfId="63"/>
    <cellStyle name="60% - Accent1 3" xfId="109"/>
    <cellStyle name="60% - Accent2" xfId="14" builtinId="36" customBuiltin="1"/>
    <cellStyle name="60% - Accent2 2" xfId="64"/>
    <cellStyle name="60% - Accent2 3" xfId="110"/>
    <cellStyle name="60% - Accent3" xfId="15" builtinId="40" customBuiltin="1"/>
    <cellStyle name="60% - Accent3 2" xfId="65"/>
    <cellStyle name="60% - Accent3 3" xfId="111"/>
    <cellStyle name="60% - Accent4" xfId="16" builtinId="44" customBuiltin="1"/>
    <cellStyle name="60% - Accent4 2" xfId="66"/>
    <cellStyle name="60% - Accent4 3" xfId="112"/>
    <cellStyle name="60% - Accent5" xfId="17" builtinId="48" customBuiltin="1"/>
    <cellStyle name="60% - Accent5 2" xfId="67"/>
    <cellStyle name="60% - Accent5 3" xfId="113"/>
    <cellStyle name="60% - Accent6" xfId="18" builtinId="52" customBuiltin="1"/>
    <cellStyle name="60% - Accent6 2" xfId="68"/>
    <cellStyle name="60% - Accent6 3" xfId="114"/>
    <cellStyle name="Accent1" xfId="19" builtinId="29" customBuiltin="1"/>
    <cellStyle name="Accent1 2" xfId="69"/>
    <cellStyle name="Accent1 3" xfId="115"/>
    <cellStyle name="Accent2" xfId="20" builtinId="33" customBuiltin="1"/>
    <cellStyle name="Accent2 2" xfId="70"/>
    <cellStyle name="Accent2 3" xfId="116"/>
    <cellStyle name="Accent3" xfId="21" builtinId="37" customBuiltin="1"/>
    <cellStyle name="Accent3 2" xfId="71"/>
    <cellStyle name="Accent3 3" xfId="117"/>
    <cellStyle name="Accent4" xfId="22" builtinId="41" customBuiltin="1"/>
    <cellStyle name="Accent4 2" xfId="72"/>
    <cellStyle name="Accent4 3" xfId="118"/>
    <cellStyle name="Accent5" xfId="23" builtinId="45" customBuiltin="1"/>
    <cellStyle name="Accent5 2" xfId="73"/>
    <cellStyle name="Accent5 3" xfId="119"/>
    <cellStyle name="Accent6" xfId="24" builtinId="49" customBuiltin="1"/>
    <cellStyle name="Accent6 2" xfId="74"/>
    <cellStyle name="Accent6 3" xfId="120"/>
    <cellStyle name="Bad" xfId="25" builtinId="27" customBuiltin="1"/>
    <cellStyle name="Bad 2" xfId="75"/>
    <cellStyle name="Bad 3" xfId="121"/>
    <cellStyle name="Calculation" xfId="26" builtinId="22" customBuiltin="1"/>
    <cellStyle name="Calculation 2" xfId="76"/>
    <cellStyle name="Calculation 3" xfId="122"/>
    <cellStyle name="Check Cell" xfId="27" builtinId="23" customBuiltin="1"/>
    <cellStyle name="Check Cell 2" xfId="77"/>
    <cellStyle name="Check Cell 3" xfId="123"/>
    <cellStyle name="Comma" xfId="28" builtinId="3"/>
    <cellStyle name="Comma 2" xfId="78"/>
    <cellStyle name="Comma 3" xfId="49"/>
    <cellStyle name="Comma 4" xfId="96"/>
    <cellStyle name="Comma_B Schedule Municipal Adjustments Budget - 23 March 2009 cb" xfId="29"/>
    <cellStyle name="Explanatory Text" xfId="30" builtinId="53" customBuiltin="1"/>
    <cellStyle name="Explanatory Text 2" xfId="79"/>
    <cellStyle name="Explanatory Text 3" xfId="124"/>
    <cellStyle name="Followed Hyperlink" xfId="125" builtinId="9" customBuiltin="1"/>
    <cellStyle name="Good" xfId="31" builtinId="26" customBuiltin="1"/>
    <cellStyle name="Good 2" xfId="80"/>
    <cellStyle name="Good 3" xfId="126"/>
    <cellStyle name="Heading 1" xfId="32" builtinId="16" customBuiltin="1"/>
    <cellStyle name="Heading 1 2" xfId="81"/>
    <cellStyle name="Heading 1 3" xfId="127"/>
    <cellStyle name="Heading 2" xfId="33" builtinId="17" customBuiltin="1"/>
    <cellStyle name="Heading 2 2" xfId="82"/>
    <cellStyle name="Heading 2 3" xfId="128"/>
    <cellStyle name="Heading 3" xfId="34" builtinId="18" customBuiltin="1"/>
    <cellStyle name="Heading 3 2" xfId="83"/>
    <cellStyle name="Heading 3 3" xfId="129"/>
    <cellStyle name="Heading 4" xfId="35" builtinId="19" customBuiltin="1"/>
    <cellStyle name="Heading 4 2" xfId="84"/>
    <cellStyle name="Heading 4 3" xfId="130"/>
    <cellStyle name="Hyperlink" xfId="47" builtinId="8"/>
    <cellStyle name="Hyperlink 2" xfId="131"/>
    <cellStyle name="Hyperlink_AppA_Muncde_2010" xfId="36"/>
    <cellStyle name="Input" xfId="37" builtinId="20" customBuiltin="1"/>
    <cellStyle name="Input 2" xfId="85"/>
    <cellStyle name="Input 3" xfId="132"/>
    <cellStyle name="Linked Cell" xfId="38" builtinId="24" customBuiltin="1"/>
    <cellStyle name="Linked Cell 2" xfId="86"/>
    <cellStyle name="Linked Cell 3" xfId="133"/>
    <cellStyle name="Neutral" xfId="39" builtinId="28" customBuiltin="1"/>
    <cellStyle name="Neutral 2" xfId="87"/>
    <cellStyle name="Neutral 3" xfId="134"/>
    <cellStyle name="Normal" xfId="0" builtinId="0"/>
    <cellStyle name="Normal 2" xfId="50"/>
    <cellStyle name="Normal 3" xfId="48"/>
    <cellStyle name="Normal 4" xfId="95"/>
    <cellStyle name="Note" xfId="40" builtinId="10" customBuiltin="1"/>
    <cellStyle name="Note 2" xfId="88"/>
    <cellStyle name="Note 3" xfId="135"/>
    <cellStyle name="Output" xfId="41" builtinId="21" customBuiltin="1"/>
    <cellStyle name="Output 2" xfId="89"/>
    <cellStyle name="Output 3" xfId="136"/>
    <cellStyle name="Percent" xfId="42" builtinId="5"/>
    <cellStyle name="Percent 10 2" xfId="43"/>
    <cellStyle name="Percent 10 2 2" xfId="91"/>
    <cellStyle name="Percent 2" xfId="90"/>
    <cellStyle name="Percent 3" xfId="137"/>
    <cellStyle name="Title" xfId="44" builtinId="15" customBuiltin="1"/>
    <cellStyle name="Title 2" xfId="92"/>
    <cellStyle name="Title 3" xfId="138"/>
    <cellStyle name="Total" xfId="45" builtinId="25" customBuiltin="1"/>
    <cellStyle name="Total 2" xfId="93"/>
    <cellStyle name="Total 3" xfId="139"/>
    <cellStyle name="Warning Text" xfId="46" builtinId="11" customBuiltin="1"/>
    <cellStyle name="Warning Text 2" xfId="94"/>
    <cellStyle name="Warning Text 3" xfId="1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6169323</c:v>
                </c:pt>
                <c:pt idx="1">
                  <c:v>2852895</c:v>
                </c:pt>
                <c:pt idx="2">
                  <c:v>3120383</c:v>
                </c:pt>
                <c:pt idx="3">
                  <c:v>3036930</c:v>
                </c:pt>
                <c:pt idx="4">
                  <c:v>2789300</c:v>
                </c:pt>
                <c:pt idx="5">
                  <c:v>2497183</c:v>
                </c:pt>
                <c:pt idx="6">
                  <c:v>87497580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333888"/>
        <c:axId val="257343872"/>
        <c:axId val="0"/>
      </c:bar3DChart>
      <c:catAx>
        <c:axId val="25733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34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34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57333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2014/15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6892508.6299999999</c:v>
                </c:pt>
                <c:pt idx="1">
                  <c:v>11038403.09</c:v>
                </c:pt>
                <c:pt idx="2">
                  <c:v>77628164.920000002</c:v>
                </c:pt>
                <c:pt idx="3">
                  <c:v>9165609.5399999991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7105679</c:v>
                </c:pt>
                <c:pt idx="1">
                  <c:v>11379797</c:v>
                </c:pt>
                <c:pt idx="2">
                  <c:v>80029036</c:v>
                </c:pt>
                <c:pt idx="3">
                  <c:v>9449082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22592"/>
        <c:axId val="264774400"/>
        <c:axId val="0"/>
      </c:bar3DChart>
      <c:catAx>
        <c:axId val="1510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47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77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5102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14693677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4214239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789376"/>
        <c:axId val="264811648"/>
        <c:axId val="0"/>
      </c:bar3DChart>
      <c:catAx>
        <c:axId val="2647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4811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481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64789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394752"/>
        <c:axId val="280404736"/>
        <c:axId val="0"/>
      </c:bar3DChart>
      <c:catAx>
        <c:axId val="2803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0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0394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513920"/>
        <c:axId val="280515712"/>
        <c:axId val="0"/>
      </c:bar3DChart>
      <c:catAx>
        <c:axId val="28051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051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51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8051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8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7" val="5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7287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027289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7291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7293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7294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7295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7300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7301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7303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7304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7296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7297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8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9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7292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2015/16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043722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043723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</xdr:rowOff>
        </xdr:from>
        <xdr:to>
          <xdr:col>5</xdr:col>
          <xdr:colOff>66675</xdr:colOff>
          <xdr:row>16</xdr:row>
          <xdr:rowOff>38100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0</xdr:rowOff>
        </xdr:from>
        <xdr:to>
          <xdr:col>5</xdr:col>
          <xdr:colOff>600075</xdr:colOff>
          <xdr:row>18</xdr:row>
          <xdr:rowOff>28575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13</xdr:row>
          <xdr:rowOff>0</xdr:rowOff>
        </xdr:from>
        <xdr:to>
          <xdr:col>5</xdr:col>
          <xdr:colOff>333375</xdr:colOff>
          <xdr:row>14</xdr:row>
          <xdr:rowOff>28575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043735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044453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</xdr:row>
          <xdr:rowOff>9525</xdr:rowOff>
        </xdr:from>
        <xdr:to>
          <xdr:col>4</xdr:col>
          <xdr:colOff>504825</xdr:colOff>
          <xdr:row>3</xdr:row>
          <xdr:rowOff>114300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</xdr:row>
          <xdr:rowOff>9525</xdr:rowOff>
        </xdr:from>
        <xdr:to>
          <xdr:col>3</xdr:col>
          <xdr:colOff>209550</xdr:colOff>
          <xdr:row>4</xdr:row>
          <xdr:rowOff>114300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19050</xdr:rowOff>
        </xdr:from>
        <xdr:to>
          <xdr:col>4</xdr:col>
          <xdr:colOff>504825</xdr:colOff>
          <xdr:row>5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4</xdr:row>
          <xdr:rowOff>19050</xdr:rowOff>
        </xdr:from>
        <xdr:to>
          <xdr:col>4</xdr:col>
          <xdr:colOff>504825</xdr:colOff>
          <xdr:row>4</xdr:row>
          <xdr:rowOff>123825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14</xdr:row>
          <xdr:rowOff>152400</xdr:rowOff>
        </xdr:from>
        <xdr:to>
          <xdr:col>2</xdr:col>
          <xdr:colOff>123825</xdr:colOff>
          <xdr:row>15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16</xdr:row>
          <xdr:rowOff>0</xdr:rowOff>
        </xdr:from>
        <xdr:to>
          <xdr:col>2</xdr:col>
          <xdr:colOff>123825</xdr:colOff>
          <xdr:row>16</xdr:row>
          <xdr:rowOff>133350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18</xdr:row>
          <xdr:rowOff>0</xdr:rowOff>
        </xdr:from>
        <xdr:to>
          <xdr:col>2</xdr:col>
          <xdr:colOff>123825</xdr:colOff>
          <xdr:row>18</xdr:row>
          <xdr:rowOff>133350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76200</xdr:rowOff>
        </xdr:from>
        <xdr:to>
          <xdr:col>8</xdr:col>
          <xdr:colOff>333375</xdr:colOff>
          <xdr:row>4</xdr:row>
          <xdr:rowOff>95250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19050</xdr:rowOff>
        </xdr:from>
        <xdr:to>
          <xdr:col>5</xdr:col>
          <xdr:colOff>333375</xdr:colOff>
          <xdr:row>12</xdr:row>
          <xdr:rowOff>47625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04374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526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756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756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756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756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7567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2015/16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27/My%20Documents/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5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17" activePane="bottomRight" state="frozen"/>
      <selection activeCell="O16" sqref="O16"/>
      <selection pane="topRight" activeCell="O16" sqref="O16"/>
      <selection pane="bottomLeft" activeCell="O16" sqref="O16"/>
      <selection pane="bottomRight" activeCell="H60" sqref="H60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90" t="str">
        <f>muni&amp; " - "&amp;S71C&amp; " - "&amp;date</f>
        <v>NW385 Ramotshere Moiloa - Table C3 Monthly Budget Statement - Financial Performance (revenue and expenditure by municipal vote) - M07 January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4" x14ac:dyDescent="0.25">
      <c r="A2" s="20" t="str">
        <f>Vdesc</f>
        <v>Vote Description</v>
      </c>
      <c r="B2" s="981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24" ht="25.5" x14ac:dyDescent="0.25">
      <c r="A3" s="169"/>
      <c r="B3" s="992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3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0</v>
      </c>
      <c r="F6" s="45">
        <f>'C3C'!F6</f>
        <v>0</v>
      </c>
      <c r="G6" s="45">
        <f>'C3C'!G6</f>
        <v>19369805.539999999</v>
      </c>
      <c r="H6" s="45">
        <f>'C3C'!H6</f>
        <v>30486166.666666664</v>
      </c>
      <c r="I6" s="45">
        <f>G6-H6</f>
        <v>-11116361.126666665</v>
      </c>
      <c r="J6" s="729">
        <f>IF(I6=0,"",I6/H6)</f>
        <v>-0.36463623807519258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0</v>
      </c>
      <c r="F7" s="45">
        <f>'C3C'!F17</f>
        <v>8516363.9500000179</v>
      </c>
      <c r="G7" s="45">
        <f>'C3C'!G17</f>
        <v>62171403.560000122</v>
      </c>
      <c r="H7" s="45">
        <f>'C3C'!H17</f>
        <v>39065572.175373323</v>
      </c>
      <c r="I7" s="45">
        <f t="shared" ref="I7:I20" si="0">G7-H7</f>
        <v>23105831.384626798</v>
      </c>
      <c r="J7" s="729">
        <f t="shared" ref="J7:J21" si="1">IF(I7=0,"",I7/H7)</f>
        <v>0.59146276626642014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0</v>
      </c>
      <c r="F8" s="45">
        <f>'C3C'!F28</f>
        <v>19485.52</v>
      </c>
      <c r="G8" s="45">
        <f>'C3C'!G28</f>
        <v>19485.52</v>
      </c>
      <c r="H8" s="45">
        <f>'C3C'!H28</f>
        <v>11933540.278543333</v>
      </c>
      <c r="I8" s="45">
        <f t="shared" si="0"/>
        <v>-11914054.758543333</v>
      </c>
      <c r="J8" s="729">
        <f t="shared" si="1"/>
        <v>-0.99836716351181765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0</v>
      </c>
      <c r="F9" s="45">
        <f>'C3C'!F39</f>
        <v>3522988.7800000049</v>
      </c>
      <c r="G9" s="45">
        <f>'C3C'!G39</f>
        <v>84234344.830000028</v>
      </c>
      <c r="H9" s="45">
        <f>'C3C'!H39</f>
        <v>103400857.2741341</v>
      </c>
      <c r="I9" s="45">
        <f t="shared" si="0"/>
        <v>-19166512.444134071</v>
      </c>
      <c r="J9" s="729">
        <f t="shared" si="1"/>
        <v>-0.18536125279232676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0</v>
      </c>
      <c r="F10" s="45">
        <f>'C3C'!F50</f>
        <v>878250.76</v>
      </c>
      <c r="G10" s="45">
        <f>'C3C'!G50</f>
        <v>28341714.520000007</v>
      </c>
      <c r="H10" s="45">
        <f>'C3C'!H50</f>
        <v>26402350.987751655</v>
      </c>
      <c r="I10" s="45">
        <f t="shared" si="0"/>
        <v>1939363.5322483517</v>
      </c>
      <c r="J10" s="729">
        <f t="shared" si="1"/>
        <v>7.3454198572999965E-2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0</v>
      </c>
      <c r="F21" s="74">
        <f t="shared" si="2"/>
        <v>12937089.010000022</v>
      </c>
      <c r="G21" s="74">
        <f t="shared" si="2"/>
        <v>194136753.97000015</v>
      </c>
      <c r="H21" s="74">
        <f t="shared" si="2"/>
        <v>211288487.38246909</v>
      </c>
      <c r="I21" s="74">
        <f t="shared" si="2"/>
        <v>-17151733.412468921</v>
      </c>
      <c r="J21" s="730">
        <f t="shared" si="1"/>
        <v>-8.1176847943547847E-2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0</v>
      </c>
      <c r="F24" s="45">
        <f>'C3C'!F174</f>
        <v>2896713.95</v>
      </c>
      <c r="G24" s="45">
        <f>'C3C'!G174</f>
        <v>18728027.609999999</v>
      </c>
      <c r="H24" s="45">
        <f>'C3C'!H174</f>
        <v>20780998.908036619</v>
      </c>
      <c r="I24" s="45">
        <f t="shared" ref="I24:I38" si="3">G24-H24</f>
        <v>-2052971.29803662</v>
      </c>
      <c r="J24" s="729">
        <f t="shared" ref="J24:J29" si="4">IF(I24=0,"",I24/H24)</f>
        <v>-9.8790789948151922E-2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0</v>
      </c>
      <c r="F25" s="45">
        <f>'C3C'!F185</f>
        <v>3234368.7300000004</v>
      </c>
      <c r="G25" s="45">
        <f>'C3C'!G185</f>
        <v>34686249.514269598</v>
      </c>
      <c r="H25" s="45">
        <f>'C3C'!H185</f>
        <v>44456802.658435307</v>
      </c>
      <c r="I25" s="45">
        <f t="shared" si="3"/>
        <v>-9770553.1441657096</v>
      </c>
      <c r="J25" s="729">
        <f t="shared" si="4"/>
        <v>-0.21977633477678424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0</v>
      </c>
      <c r="F26" s="45">
        <f>'C3C'!F196</f>
        <v>2169316.23</v>
      </c>
      <c r="G26" s="45">
        <f>'C3C'!G196</f>
        <v>18056364.3071943</v>
      </c>
      <c r="H26" s="45">
        <f>'C3C'!H196</f>
        <v>6557005.1253291657</v>
      </c>
      <c r="I26" s="45">
        <f t="shared" si="3"/>
        <v>11499359.181865133</v>
      </c>
      <c r="J26" s="729">
        <f t="shared" si="4"/>
        <v>1.7537517452051494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0</v>
      </c>
      <c r="F27" s="45">
        <f>'C3C'!F207</f>
        <v>4786487.9800000004</v>
      </c>
      <c r="G27" s="45">
        <f>'C3C'!G207</f>
        <v>51833071.872919366</v>
      </c>
      <c r="H27" s="45">
        <f>'C3C'!H207</f>
        <v>57570777.285981178</v>
      </c>
      <c r="I27" s="45">
        <f t="shared" si="3"/>
        <v>-5737705.4130618125</v>
      </c>
      <c r="J27" s="729">
        <f t="shared" si="4"/>
        <v>-9.9663504360205629E-2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0</v>
      </c>
      <c r="F28" s="45">
        <f>'C3C'!F218</f>
        <v>2861234.18</v>
      </c>
      <c r="G28" s="45">
        <f>'C3C'!G218</f>
        <v>8983582.450000003</v>
      </c>
      <c r="H28" s="45">
        <f>'C3C'!H218</f>
        <v>16762806.585876737</v>
      </c>
      <c r="I28" s="45">
        <f t="shared" si="3"/>
        <v>-7779224.1358767338</v>
      </c>
      <c r="J28" s="729">
        <f t="shared" si="4"/>
        <v>-0.46407647168291066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0</v>
      </c>
      <c r="F39" s="433">
        <f t="shared" si="6"/>
        <v>15948121.07</v>
      </c>
      <c r="G39" s="433">
        <f t="shared" si="6"/>
        <v>132287295.75438327</v>
      </c>
      <c r="H39" s="433">
        <f t="shared" si="6"/>
        <v>146128390.56365901</v>
      </c>
      <c r="I39" s="433">
        <f t="shared" si="6"/>
        <v>-13841094.809275743</v>
      </c>
      <c r="J39" s="732">
        <f>IF(I39=0,"",I39/H39)</f>
        <v>-9.471872478637916E-2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0</v>
      </c>
      <c r="F40" s="56">
        <f t="shared" si="7"/>
        <v>-3011032.0599999782</v>
      </c>
      <c r="G40" s="56">
        <f t="shared" si="7"/>
        <v>61849458.215616882</v>
      </c>
      <c r="H40" s="56">
        <f t="shared" si="7"/>
        <v>65160096.818810076</v>
      </c>
      <c r="I40" s="56">
        <f>I21-I39</f>
        <v>-3310638.6031931788</v>
      </c>
      <c r="J40" s="733">
        <f>IF(I40=0,"",I40/H40)</f>
        <v>-5.0807760651415741E-2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5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30" activePane="bottomRight" state="frozen"/>
      <selection activeCell="O16" sqref="O16"/>
      <selection pane="topRight" activeCell="O16" sqref="O16"/>
      <selection pane="bottomLeft" activeCell="O16" sqref="O16"/>
      <selection pane="bottomRight" activeCell="H336" sqref="H336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M07 January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0</v>
      </c>
      <c r="F6" s="446">
        <f t="shared" si="0"/>
        <v>0</v>
      </c>
      <c r="G6" s="444">
        <f t="shared" si="0"/>
        <v>19369805.539999999</v>
      </c>
      <c r="H6" s="446">
        <f t="shared" si="0"/>
        <v>30486166.666666664</v>
      </c>
      <c r="I6" s="45">
        <f t="shared" ref="I6:I69" si="1">G6-H6</f>
        <v>-11116361.126666665</v>
      </c>
      <c r="J6" s="333">
        <f t="shared" ref="J6:J69" si="2">IF(I6=0,"",I6/H6)</f>
        <v>-0.36463623807519258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/>
      <c r="F7" s="756"/>
      <c r="G7" s="755">
        <v>12575098.690000001</v>
      </c>
      <c r="H7" s="756">
        <f>D7/12*7</f>
        <v>3211833.333333333</v>
      </c>
      <c r="I7" s="45">
        <f t="shared" si="1"/>
        <v>9363265.3566666692</v>
      </c>
      <c r="J7" s="333">
        <f t="shared" si="2"/>
        <v>2.9152401089720317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/>
      <c r="F8" s="756"/>
      <c r="G8" s="755"/>
      <c r="H8" s="756">
        <f>D8/12*7</f>
        <v>3946833.3333333335</v>
      </c>
      <c r="I8" s="45">
        <f t="shared" si="1"/>
        <v>-3946833.3333333335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/>
      <c r="F9" s="756"/>
      <c r="G9" s="755"/>
      <c r="H9" s="756">
        <f>D9/12*7</f>
        <v>10446333.333333332</v>
      </c>
      <c r="I9" s="45">
        <f t="shared" si="1"/>
        <v>-10446333.333333332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/>
      <c r="F10" s="756"/>
      <c r="G10" s="755">
        <v>6794706.8499999996</v>
      </c>
      <c r="H10" s="756">
        <f>D10/12*7</f>
        <v>8517833.3333333321</v>
      </c>
      <c r="I10" s="45">
        <f t="shared" si="1"/>
        <v>-1723126.4833333325</v>
      </c>
      <c r="J10" s="333">
        <f t="shared" si="2"/>
        <v>-0.20229633709667943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/>
      <c r="F11" s="756"/>
      <c r="G11" s="755"/>
      <c r="H11" s="756">
        <f>D11/12*7</f>
        <v>4363333.333333334</v>
      </c>
      <c r="I11" s="45">
        <f t="shared" si="1"/>
        <v>-4363333.333333334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ref="H12:H27" si="3">D12/2</f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0</v>
      </c>
      <c r="F17" s="446">
        <f t="shared" si="4"/>
        <v>8516363.9500000179</v>
      </c>
      <c r="G17" s="444">
        <f t="shared" si="4"/>
        <v>62171403.560000122</v>
      </c>
      <c r="H17" s="446">
        <f t="shared" si="4"/>
        <v>39065572.175373323</v>
      </c>
      <c r="I17" s="45">
        <f t="shared" si="1"/>
        <v>23105831.384626798</v>
      </c>
      <c r="J17" s="333">
        <f t="shared" si="2"/>
        <v>0.59146276626642014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/>
      <c r="F18" s="756">
        <v>3473363.9500000179</v>
      </c>
      <c r="G18" s="755">
        <f>22408161.8100001+F18+26379000</f>
        <v>52260525.760000117</v>
      </c>
      <c r="H18" s="756">
        <f>D18/12*7</f>
        <v>26335488.842039987</v>
      </c>
      <c r="I18" s="45">
        <f t="shared" si="1"/>
        <v>25925036.91796013</v>
      </c>
      <c r="J18" s="333">
        <f t="shared" si="2"/>
        <v>0.98441449382080037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/>
      <c r="F19" s="756">
        <v>5043000</v>
      </c>
      <c r="G19" s="755">
        <f>4867877.8+F19</f>
        <v>9910877.8000000007</v>
      </c>
      <c r="H19" s="756">
        <f>D19/12*7</f>
        <v>7430500</v>
      </c>
      <c r="I19" s="45">
        <f t="shared" si="1"/>
        <v>2480377.8000000007</v>
      </c>
      <c r="J19" s="333">
        <f t="shared" si="2"/>
        <v>0.33381034923625608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/>
      <c r="F20" s="756"/>
      <c r="G20" s="755"/>
      <c r="H20" s="756">
        <f>D20/12*7</f>
        <v>2424916.666666667</v>
      </c>
      <c r="I20" s="45">
        <f t="shared" si="1"/>
        <v>-2424916.666666667</v>
      </c>
      <c r="J20" s="333">
        <f t="shared" si="2"/>
        <v>-1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/>
      <c r="F21" s="756"/>
      <c r="G21" s="755"/>
      <c r="H21" s="756">
        <f>D21/12*7</f>
        <v>1789083.3333333335</v>
      </c>
      <c r="I21" s="45">
        <f t="shared" si="1"/>
        <v>-1789083.3333333335</v>
      </c>
      <c r="J21" s="333">
        <f t="shared" si="2"/>
        <v>-1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/>
      <c r="H22" s="756">
        <f>D22/12*7</f>
        <v>1085583.3333333335</v>
      </c>
      <c r="I22" s="45">
        <f t="shared" si="1"/>
        <v>-1085583.3333333335</v>
      </c>
      <c r="J22" s="333">
        <f t="shared" si="2"/>
        <v>-1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0</v>
      </c>
      <c r="F28" s="446">
        <f t="shared" si="5"/>
        <v>19485.52</v>
      </c>
      <c r="G28" s="446">
        <f t="shared" si="5"/>
        <v>19485.52</v>
      </c>
      <c r="H28" s="446">
        <f t="shared" si="5"/>
        <v>11933540.278543333</v>
      </c>
      <c r="I28" s="45">
        <f t="shared" si="1"/>
        <v>-11914054.758543333</v>
      </c>
      <c r="J28" s="333">
        <f t="shared" si="2"/>
        <v>-0.99836716351181765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/>
      <c r="F29" s="756">
        <v>19485.52</v>
      </c>
      <c r="G29" s="755">
        <f>F29</f>
        <v>19485.52</v>
      </c>
      <c r="H29" s="756">
        <f>D29/12*7</f>
        <v>11933540.278543333</v>
      </c>
      <c r="I29" s="259">
        <f t="shared" si="1"/>
        <v>-11914054.758543333</v>
      </c>
      <c r="J29" s="333">
        <f t="shared" si="2"/>
        <v>-0.99836716351181765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/>
      <c r="F30" s="756"/>
      <c r="G30" s="755"/>
      <c r="H30" s="756"/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0</v>
      </c>
      <c r="F39" s="446">
        <f t="shared" si="6"/>
        <v>3522988.7800000049</v>
      </c>
      <c r="G39" s="444">
        <f t="shared" si="6"/>
        <v>84234344.830000028</v>
      </c>
      <c r="H39" s="446">
        <f t="shared" si="6"/>
        <v>103400857.2741341</v>
      </c>
      <c r="I39" s="45">
        <f t="shared" si="1"/>
        <v>-19166512.444134071</v>
      </c>
      <c r="J39" s="333">
        <f t="shared" si="2"/>
        <v>-0.18536125279232676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/>
      <c r="F40" s="756">
        <v>2474289.27</v>
      </c>
      <c r="G40" s="755">
        <f>16085965.62+F40+36434000</f>
        <v>54994254.890000001</v>
      </c>
      <c r="H40" s="756">
        <f>D40/12*7</f>
        <v>38055076.002731673</v>
      </c>
      <c r="I40" s="45">
        <f t="shared" si="1"/>
        <v>16939178.887268327</v>
      </c>
      <c r="J40" s="333">
        <f t="shared" si="2"/>
        <v>0.44512271861058422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/>
      <c r="F41" s="756">
        <v>210089.12000000122</v>
      </c>
      <c r="G41" s="755">
        <f>1226461.62+F41</f>
        <v>1436550.7400000014</v>
      </c>
      <c r="H41" s="756">
        <f>D41/12*7</f>
        <v>3012058.4761540922</v>
      </c>
      <c r="I41" s="45">
        <f t="shared" si="1"/>
        <v>-1575507.7361540908</v>
      </c>
      <c r="J41" s="333">
        <f t="shared" si="2"/>
        <v>-0.52306678260966477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/>
      <c r="F42" s="756"/>
      <c r="G42" s="755">
        <f>218000+20000</f>
        <v>238000</v>
      </c>
      <c r="H42" s="756">
        <f>D42/12*7</f>
        <v>30440562.054524995</v>
      </c>
      <c r="I42" s="45">
        <f t="shared" si="1"/>
        <v>-30202562.054524995</v>
      </c>
      <c r="J42" s="333">
        <f t="shared" si="2"/>
        <v>-0.99218148470538436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/>
      <c r="F43" s="756"/>
      <c r="G43" s="755">
        <v>19607854.229999997</v>
      </c>
      <c r="H43" s="756">
        <f>D43/12*7</f>
        <v>23939085.778265003</v>
      </c>
      <c r="I43" s="45">
        <f t="shared" si="1"/>
        <v>-4331231.5482650064</v>
      </c>
      <c r="J43" s="333">
        <f t="shared" si="2"/>
        <v>-0.18092719113766068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/>
      <c r="F44" s="756"/>
      <c r="G44" s="755"/>
      <c r="H44" s="756">
        <f>D44/12*7</f>
        <v>1256514.9045516665</v>
      </c>
      <c r="I44" s="45">
        <f t="shared" si="1"/>
        <v>-1256514.9045516665</v>
      </c>
      <c r="J44" s="333">
        <f t="shared" si="2"/>
        <v>-1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/>
      <c r="F45" s="756"/>
      <c r="G45" s="755"/>
      <c r="H45" s="756">
        <f t="shared" ref="H45:H49" si="7">D45/2</f>
        <v>0</v>
      </c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/>
      <c r="F46" s="756">
        <v>838610.39000000374</v>
      </c>
      <c r="G46" s="755">
        <f>7119074.58000003+F46</f>
        <v>7957684.9700000333</v>
      </c>
      <c r="H46" s="756">
        <f>D46/12*7</f>
        <v>6697560.0579066677</v>
      </c>
      <c r="I46" s="45">
        <f t="shared" si="1"/>
        <v>1260124.9120933656</v>
      </c>
      <c r="J46" s="333">
        <f t="shared" si="2"/>
        <v>0.18814686261838756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si="7"/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7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7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8">SUM(D51:D60)</f>
        <v>45261173.121859983</v>
      </c>
      <c r="E50" s="444">
        <f t="shared" si="8"/>
        <v>0</v>
      </c>
      <c r="F50" s="446">
        <f t="shared" si="8"/>
        <v>878250.76</v>
      </c>
      <c r="G50" s="444">
        <f t="shared" si="8"/>
        <v>28341714.520000007</v>
      </c>
      <c r="H50" s="446">
        <f t="shared" si="8"/>
        <v>26402350.987751655</v>
      </c>
      <c r="I50" s="45">
        <f t="shared" si="1"/>
        <v>1939363.5322483517</v>
      </c>
      <c r="J50" s="333">
        <f t="shared" si="2"/>
        <v>7.3454198572999965E-2</v>
      </c>
      <c r="K50" s="445">
        <f t="shared" si="8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/>
      <c r="F51" s="756">
        <v>590536.11</v>
      </c>
      <c r="G51" s="755">
        <f>6107125.20000001+F51</f>
        <v>6697661.3100000108</v>
      </c>
      <c r="H51" s="756">
        <f t="shared" ref="H51:H57" si="9">D51/12*7</f>
        <v>8178896.25</v>
      </c>
      <c r="I51" s="45">
        <f t="shared" si="1"/>
        <v>-1481234.9399999892</v>
      </c>
      <c r="J51" s="333">
        <f t="shared" si="2"/>
        <v>-0.18110450294561314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/>
      <c r="F52" s="756"/>
      <c r="G52" s="755">
        <v>1250941.1499999999</v>
      </c>
      <c r="H52" s="756">
        <f t="shared" si="9"/>
        <v>1751166.6666666665</v>
      </c>
      <c r="I52" s="45">
        <f t="shared" si="1"/>
        <v>-500225.5166666666</v>
      </c>
      <c r="J52" s="333">
        <f t="shared" si="2"/>
        <v>-0.28565271723612828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/>
      <c r="F53" s="756"/>
      <c r="G53" s="755">
        <v>834173.21</v>
      </c>
      <c r="H53" s="756">
        <f t="shared" si="9"/>
        <v>1167833.3333333335</v>
      </c>
      <c r="I53" s="45">
        <f t="shared" si="1"/>
        <v>-333660.12333333353</v>
      </c>
      <c r="J53" s="333">
        <f t="shared" si="2"/>
        <v>-0.28570868274582573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/>
      <c r="F54" s="756">
        <v>276005.7</v>
      </c>
      <c r="G54" s="755">
        <f>8946792.81+F54</f>
        <v>9222798.5099999998</v>
      </c>
      <c r="H54" s="756">
        <f t="shared" si="9"/>
        <v>8477048.5479749963</v>
      </c>
      <c r="I54" s="45">
        <f t="shared" si="1"/>
        <v>745749.96202500351</v>
      </c>
      <c r="J54" s="333">
        <f t="shared" si="2"/>
        <v>8.7972831322659914E-2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/>
      <c r="F55" s="756">
        <v>11608.949999999997</v>
      </c>
      <c r="G55" s="755">
        <f>237965.23+F55</f>
        <v>249574.18</v>
      </c>
      <c r="H55" s="756">
        <f t="shared" si="9"/>
        <v>300181.11415832781</v>
      </c>
      <c r="I55" s="45">
        <f t="shared" si="1"/>
        <v>-50606.934158327815</v>
      </c>
      <c r="J55" s="333">
        <f t="shared" si="2"/>
        <v>-0.16858800161437087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/>
      <c r="F56" s="756">
        <v>100</v>
      </c>
      <c r="G56" s="755">
        <f>31466.16+F56</f>
        <v>31566.16</v>
      </c>
      <c r="H56" s="756">
        <f t="shared" si="9"/>
        <v>661808.40895166667</v>
      </c>
      <c r="I56" s="45">
        <f t="shared" si="1"/>
        <v>-630242.24895166664</v>
      </c>
      <c r="J56" s="333">
        <f t="shared" si="2"/>
        <v>-0.95230317479646076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/>
      <c r="F57" s="756"/>
      <c r="G57" s="755">
        <v>10055000</v>
      </c>
      <c r="H57" s="756">
        <f t="shared" si="9"/>
        <v>5865416.666666666</v>
      </c>
      <c r="I57" s="45">
        <f t="shared" si="1"/>
        <v>4189583.333333334</v>
      </c>
      <c r="J57" s="333">
        <f t="shared" si="2"/>
        <v>0.71428571428571441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10">SUM(D62:D71)</f>
        <v>0</v>
      </c>
      <c r="E61" s="444">
        <f t="shared" si="10"/>
        <v>0</v>
      </c>
      <c r="F61" s="446">
        <f t="shared" si="10"/>
        <v>0</v>
      </c>
      <c r="G61" s="444">
        <f t="shared" si="10"/>
        <v>0</v>
      </c>
      <c r="H61" s="446">
        <f t="shared" si="10"/>
        <v>0</v>
      </c>
      <c r="I61" s="45">
        <f t="shared" si="1"/>
        <v>0</v>
      </c>
      <c r="J61" s="333" t="str">
        <f t="shared" si="2"/>
        <v/>
      </c>
      <c r="K61" s="445">
        <f t="shared" si="10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1">G70-H70</f>
        <v>0</v>
      </c>
      <c r="J70" s="333" t="str">
        <f t="shared" ref="J70:J133" si="12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1"/>
        <v>0</v>
      </c>
      <c r="J71" s="333" t="str">
        <f t="shared" si="12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3">SUM(C73:C82)</f>
        <v>0</v>
      </c>
      <c r="D72" s="447">
        <f t="shared" si="13"/>
        <v>0</v>
      </c>
      <c r="E72" s="444">
        <f t="shared" si="13"/>
        <v>0</v>
      </c>
      <c r="F72" s="446">
        <f t="shared" si="13"/>
        <v>0</v>
      </c>
      <c r="G72" s="444">
        <f t="shared" si="13"/>
        <v>0</v>
      </c>
      <c r="H72" s="446">
        <f t="shared" si="13"/>
        <v>0</v>
      </c>
      <c r="I72" s="45">
        <f t="shared" si="11"/>
        <v>0</v>
      </c>
      <c r="J72" s="333" t="str">
        <f t="shared" si="12"/>
        <v/>
      </c>
      <c r="K72" s="445">
        <f t="shared" si="13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11"/>
        <v>0</v>
      </c>
      <c r="J73" s="333" t="str">
        <f t="shared" si="12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1"/>
        <v>0</v>
      </c>
      <c r="J74" s="333" t="str">
        <f t="shared" si="12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1"/>
        <v>0</v>
      </c>
      <c r="J75" s="333" t="str">
        <f t="shared" si="12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1"/>
        <v>0</v>
      </c>
      <c r="J76" s="333" t="str">
        <f t="shared" si="12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1"/>
        <v>0</v>
      </c>
      <c r="J77" s="333" t="str">
        <f t="shared" si="12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1"/>
        <v>0</v>
      </c>
      <c r="J78" s="333" t="str">
        <f t="shared" si="12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1"/>
        <v>0</v>
      </c>
      <c r="J79" s="333" t="str">
        <f t="shared" si="12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1"/>
        <v>0</v>
      </c>
      <c r="J80" s="333" t="str">
        <f t="shared" si="12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1"/>
        <v>0</v>
      </c>
      <c r="J81" s="333" t="str">
        <f t="shared" si="12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1"/>
        <v>0</v>
      </c>
      <c r="J82" s="333" t="str">
        <f t="shared" si="12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4">SUM(D84:D93)</f>
        <v>0</v>
      </c>
      <c r="E83" s="444">
        <f t="shared" si="14"/>
        <v>0</v>
      </c>
      <c r="F83" s="446">
        <f t="shared" si="14"/>
        <v>0</v>
      </c>
      <c r="G83" s="444">
        <f t="shared" si="14"/>
        <v>0</v>
      </c>
      <c r="H83" s="446">
        <f t="shared" si="14"/>
        <v>0</v>
      </c>
      <c r="I83" s="45">
        <f t="shared" si="11"/>
        <v>0</v>
      </c>
      <c r="J83" s="333" t="str">
        <f t="shared" si="12"/>
        <v/>
      </c>
      <c r="K83" s="445">
        <f t="shared" si="14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11"/>
        <v>0</v>
      </c>
      <c r="J84" s="333" t="str">
        <f t="shared" si="12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1"/>
        <v>0</v>
      </c>
      <c r="J85" s="333" t="str">
        <f t="shared" si="12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1"/>
        <v>0</v>
      </c>
      <c r="J86" s="333" t="str">
        <f t="shared" si="12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1"/>
        <v>0</v>
      </c>
      <c r="J87" s="333" t="str">
        <f t="shared" si="12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1"/>
        <v>0</v>
      </c>
      <c r="J88" s="333" t="str">
        <f t="shared" si="12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1"/>
        <v>0</v>
      </c>
      <c r="J89" s="333" t="str">
        <f t="shared" si="12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1"/>
        <v>0</v>
      </c>
      <c r="J90" s="333" t="str">
        <f t="shared" si="12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1"/>
        <v>0</v>
      </c>
      <c r="J91" s="333" t="str">
        <f t="shared" si="12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1"/>
        <v>0</v>
      </c>
      <c r="J92" s="333" t="str">
        <f t="shared" si="12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1"/>
        <v>0</v>
      </c>
      <c r="J93" s="333" t="str">
        <f t="shared" si="12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5">SUM(D95:D104)</f>
        <v>0</v>
      </c>
      <c r="E94" s="444">
        <f t="shared" si="15"/>
        <v>0</v>
      </c>
      <c r="F94" s="446">
        <f t="shared" si="15"/>
        <v>0</v>
      </c>
      <c r="G94" s="444">
        <f t="shared" si="15"/>
        <v>0</v>
      </c>
      <c r="H94" s="446">
        <f t="shared" si="15"/>
        <v>0</v>
      </c>
      <c r="I94" s="45">
        <f t="shared" si="11"/>
        <v>0</v>
      </c>
      <c r="J94" s="333" t="str">
        <f t="shared" si="12"/>
        <v/>
      </c>
      <c r="K94" s="445">
        <f t="shared" si="15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11"/>
        <v>0</v>
      </c>
      <c r="J95" s="333" t="str">
        <f t="shared" si="12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1"/>
        <v>0</v>
      </c>
      <c r="J96" s="333" t="str">
        <f t="shared" si="12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1"/>
        <v>0</v>
      </c>
      <c r="J97" s="333" t="str">
        <f t="shared" si="12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1"/>
        <v>0</v>
      </c>
      <c r="J98" s="333" t="str">
        <f t="shared" si="12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1"/>
        <v>0</v>
      </c>
      <c r="J99" s="333" t="str">
        <f t="shared" si="12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1"/>
        <v>0</v>
      </c>
      <c r="J100" s="333" t="str">
        <f t="shared" si="12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1"/>
        <v>0</v>
      </c>
      <c r="J101" s="333" t="str">
        <f t="shared" si="12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1"/>
        <v>0</v>
      </c>
      <c r="J102" s="333" t="str">
        <f t="shared" si="12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1"/>
        <v>0</v>
      </c>
      <c r="J103" s="333" t="str">
        <f t="shared" si="12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1"/>
        <v>0</v>
      </c>
      <c r="J104" s="333" t="str">
        <f t="shared" si="12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6">SUM(D106:D115)</f>
        <v>0</v>
      </c>
      <c r="E105" s="444">
        <f t="shared" si="16"/>
        <v>0</v>
      </c>
      <c r="F105" s="446">
        <f t="shared" si="16"/>
        <v>0</v>
      </c>
      <c r="G105" s="444">
        <f t="shared" si="16"/>
        <v>0</v>
      </c>
      <c r="H105" s="446">
        <f t="shared" si="16"/>
        <v>0</v>
      </c>
      <c r="I105" s="45">
        <f t="shared" si="11"/>
        <v>0</v>
      </c>
      <c r="J105" s="333" t="str">
        <f t="shared" si="12"/>
        <v/>
      </c>
      <c r="K105" s="445">
        <f t="shared" si="16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11"/>
        <v>0</v>
      </c>
      <c r="J106" s="333" t="str">
        <f t="shared" si="12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1"/>
        <v>0</v>
      </c>
      <c r="J107" s="333" t="str">
        <f t="shared" si="12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1"/>
        <v>0</v>
      </c>
      <c r="J108" s="333" t="str">
        <f t="shared" si="12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1"/>
        <v>0</v>
      </c>
      <c r="J109" s="333" t="str">
        <f t="shared" si="12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1"/>
        <v>0</v>
      </c>
      <c r="J110" s="333" t="str">
        <f t="shared" si="12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1"/>
        <v>0</v>
      </c>
      <c r="J111" s="333" t="str">
        <f t="shared" si="12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1"/>
        <v>0</v>
      </c>
      <c r="J112" s="333" t="str">
        <f t="shared" si="12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1"/>
        <v>0</v>
      </c>
      <c r="J113" s="333" t="str">
        <f t="shared" si="12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1"/>
        <v>0</v>
      </c>
      <c r="J114" s="333" t="str">
        <f t="shared" si="12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1"/>
        <v>0</v>
      </c>
      <c r="J115" s="333" t="str">
        <f t="shared" si="12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7">SUM(D117:D126)</f>
        <v>0</v>
      </c>
      <c r="E116" s="444">
        <f t="shared" si="17"/>
        <v>0</v>
      </c>
      <c r="F116" s="446">
        <f t="shared" si="17"/>
        <v>0</v>
      </c>
      <c r="G116" s="444">
        <f t="shared" si="17"/>
        <v>0</v>
      </c>
      <c r="H116" s="446">
        <f t="shared" si="17"/>
        <v>0</v>
      </c>
      <c r="I116" s="45">
        <f t="shared" si="11"/>
        <v>0</v>
      </c>
      <c r="J116" s="333" t="str">
        <f t="shared" si="12"/>
        <v/>
      </c>
      <c r="K116" s="445">
        <f t="shared" si="17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11"/>
        <v>0</v>
      </c>
      <c r="J117" s="333" t="str">
        <f t="shared" si="12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1"/>
        <v>0</v>
      </c>
      <c r="J118" s="333" t="str">
        <f t="shared" si="12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1"/>
        <v>0</v>
      </c>
      <c r="J119" s="333" t="str">
        <f t="shared" si="12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1"/>
        <v>0</v>
      </c>
      <c r="J120" s="333" t="str">
        <f t="shared" si="12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1"/>
        <v>0</v>
      </c>
      <c r="J121" s="333" t="str">
        <f t="shared" si="12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1"/>
        <v>0</v>
      </c>
      <c r="J122" s="333" t="str">
        <f t="shared" si="12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1"/>
        <v>0</v>
      </c>
      <c r="J123" s="333" t="str">
        <f t="shared" si="12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1"/>
        <v>0</v>
      </c>
      <c r="J124" s="333" t="str">
        <f t="shared" si="12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1"/>
        <v>0</v>
      </c>
      <c r="J125" s="333" t="str">
        <f t="shared" si="12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1"/>
        <v>0</v>
      </c>
      <c r="J126" s="333" t="str">
        <f t="shared" si="12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8">SUM(D128:D137)</f>
        <v>0</v>
      </c>
      <c r="E127" s="444">
        <f t="shared" si="18"/>
        <v>0</v>
      </c>
      <c r="F127" s="446">
        <f t="shared" si="18"/>
        <v>0</v>
      </c>
      <c r="G127" s="444">
        <f t="shared" si="18"/>
        <v>0</v>
      </c>
      <c r="H127" s="446">
        <f t="shared" si="18"/>
        <v>0</v>
      </c>
      <c r="I127" s="45">
        <f t="shared" si="11"/>
        <v>0</v>
      </c>
      <c r="J127" s="333" t="str">
        <f t="shared" si="12"/>
        <v/>
      </c>
      <c r="K127" s="445">
        <f t="shared" si="18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1"/>
        <v>0</v>
      </c>
      <c r="J128" s="333" t="str">
        <f t="shared" si="12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1"/>
        <v>0</v>
      </c>
      <c r="J129" s="333" t="str">
        <f t="shared" si="12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1"/>
        <v>0</v>
      </c>
      <c r="J130" s="333" t="str">
        <f t="shared" si="12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1"/>
        <v>0</v>
      </c>
      <c r="J131" s="333" t="str">
        <f t="shared" si="12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1"/>
        <v>0</v>
      </c>
      <c r="J132" s="333" t="str">
        <f t="shared" si="12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1"/>
        <v>0</v>
      </c>
      <c r="J133" s="333" t="str">
        <f t="shared" si="12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19">G134-H134</f>
        <v>0</v>
      </c>
      <c r="J134" s="333" t="str">
        <f t="shared" ref="J134:J197" si="20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19"/>
        <v>0</v>
      </c>
      <c r="J135" s="333" t="str">
        <f t="shared" si="20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9"/>
        <v>0</v>
      </c>
      <c r="J136" s="333" t="str">
        <f t="shared" si="20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9"/>
        <v>0</v>
      </c>
      <c r="J137" s="333" t="str">
        <f t="shared" si="20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1">SUM(D139:D148)</f>
        <v>0</v>
      </c>
      <c r="E138" s="444">
        <f t="shared" si="21"/>
        <v>0</v>
      </c>
      <c r="F138" s="446">
        <f t="shared" si="21"/>
        <v>0</v>
      </c>
      <c r="G138" s="444">
        <f t="shared" si="21"/>
        <v>0</v>
      </c>
      <c r="H138" s="446">
        <f t="shared" si="21"/>
        <v>0</v>
      </c>
      <c r="I138" s="45">
        <f t="shared" si="19"/>
        <v>0</v>
      </c>
      <c r="J138" s="333" t="str">
        <f t="shared" si="20"/>
        <v/>
      </c>
      <c r="K138" s="445">
        <f t="shared" si="21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19"/>
        <v>0</v>
      </c>
      <c r="J139" s="333" t="str">
        <f t="shared" si="20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19"/>
        <v>0</v>
      </c>
      <c r="J140" s="333" t="str">
        <f t="shared" si="20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9"/>
        <v>0</v>
      </c>
      <c r="J141" s="333" t="str">
        <f t="shared" si="20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9"/>
        <v>0</v>
      </c>
      <c r="J142" s="333" t="str">
        <f t="shared" si="20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9"/>
        <v>0</v>
      </c>
      <c r="J143" s="333" t="str">
        <f t="shared" si="20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9"/>
        <v>0</v>
      </c>
      <c r="J144" s="333" t="str">
        <f t="shared" si="20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9"/>
        <v>0</v>
      </c>
      <c r="J145" s="333" t="str">
        <f t="shared" si="20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9"/>
        <v>0</v>
      </c>
      <c r="J146" s="333" t="str">
        <f t="shared" si="20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9"/>
        <v>0</v>
      </c>
      <c r="J147" s="333" t="str">
        <f t="shared" si="20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9"/>
        <v>0</v>
      </c>
      <c r="J148" s="333" t="str">
        <f t="shared" si="20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2">SUM(D150:D159)</f>
        <v>0</v>
      </c>
      <c r="E149" s="444">
        <f t="shared" si="22"/>
        <v>0</v>
      </c>
      <c r="F149" s="446">
        <f t="shared" si="22"/>
        <v>0</v>
      </c>
      <c r="G149" s="444">
        <f t="shared" si="22"/>
        <v>0</v>
      </c>
      <c r="H149" s="446">
        <f t="shared" si="22"/>
        <v>0</v>
      </c>
      <c r="I149" s="45">
        <f t="shared" si="19"/>
        <v>0</v>
      </c>
      <c r="J149" s="333" t="str">
        <f t="shared" si="20"/>
        <v/>
      </c>
      <c r="K149" s="445">
        <f t="shared" si="22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19"/>
        <v>0</v>
      </c>
      <c r="J150" s="333" t="str">
        <f t="shared" si="20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19"/>
        <v>0</v>
      </c>
      <c r="J151" s="333" t="str">
        <f t="shared" si="20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9"/>
        <v>0</v>
      </c>
      <c r="J152" s="333" t="str">
        <f t="shared" si="20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9"/>
        <v>0</v>
      </c>
      <c r="J153" s="333" t="str">
        <f t="shared" si="20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9"/>
        <v>0</v>
      </c>
      <c r="J154" s="333" t="str">
        <f t="shared" si="20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9"/>
        <v>0</v>
      </c>
      <c r="J155" s="333" t="str">
        <f t="shared" si="20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9"/>
        <v>0</v>
      </c>
      <c r="J156" s="333" t="str">
        <f t="shared" si="20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9"/>
        <v>0</v>
      </c>
      <c r="J157" s="333" t="str">
        <f t="shared" si="20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9"/>
        <v>0</v>
      </c>
      <c r="J158" s="333" t="str">
        <f t="shared" si="20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9"/>
        <v>0</v>
      </c>
      <c r="J159" s="333" t="str">
        <f t="shared" si="20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3">SUM(D161:D170)</f>
        <v>0</v>
      </c>
      <c r="E160" s="444">
        <f t="shared" si="23"/>
        <v>0</v>
      </c>
      <c r="F160" s="446">
        <f t="shared" si="23"/>
        <v>0</v>
      </c>
      <c r="G160" s="444">
        <f t="shared" si="23"/>
        <v>0</v>
      </c>
      <c r="H160" s="446">
        <f t="shared" si="23"/>
        <v>0</v>
      </c>
      <c r="I160" s="45">
        <f t="shared" si="19"/>
        <v>0</v>
      </c>
      <c r="J160" s="333" t="str">
        <f t="shared" si="20"/>
        <v/>
      </c>
      <c r="K160" s="445">
        <f t="shared" si="23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19"/>
        <v>0</v>
      </c>
      <c r="J161" s="333" t="str">
        <f t="shared" si="20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19"/>
        <v>0</v>
      </c>
      <c r="J162" s="333" t="str">
        <f t="shared" si="20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9"/>
        <v>0</v>
      </c>
      <c r="J163" s="333" t="str">
        <f t="shared" si="20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9"/>
        <v>0</v>
      </c>
      <c r="J164" s="333" t="str">
        <f t="shared" si="20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9"/>
        <v>0</v>
      </c>
      <c r="J165" s="333" t="str">
        <f t="shared" si="20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9"/>
        <v>0</v>
      </c>
      <c r="J166" s="333" t="str">
        <f t="shared" si="20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9"/>
        <v>0</v>
      </c>
      <c r="J167" s="333" t="str">
        <f t="shared" si="20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9"/>
        <v>0</v>
      </c>
      <c r="J168" s="333" t="str">
        <f t="shared" si="20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9"/>
        <v>0</v>
      </c>
      <c r="J169" s="333" t="str">
        <f t="shared" si="20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9"/>
        <v>0</v>
      </c>
      <c r="J170" s="333" t="str">
        <f t="shared" si="20"/>
        <v/>
      </c>
      <c r="K170" s="757"/>
      <c r="L170" s="455">
        <f t="shared" ref="L170:W170" si="24">SUM(L78:L81)</f>
        <v>0</v>
      </c>
      <c r="M170" s="456">
        <f t="shared" si="24"/>
        <v>0</v>
      </c>
      <c r="N170" s="456">
        <f t="shared" si="24"/>
        <v>0</v>
      </c>
      <c r="O170" s="456">
        <f t="shared" si="24"/>
        <v>0</v>
      </c>
      <c r="P170" s="456">
        <f t="shared" si="24"/>
        <v>0</v>
      </c>
      <c r="Q170" s="456">
        <f t="shared" si="24"/>
        <v>0</v>
      </c>
      <c r="R170" s="456">
        <f t="shared" si="24"/>
        <v>0</v>
      </c>
      <c r="S170" s="456">
        <f t="shared" si="24"/>
        <v>0</v>
      </c>
      <c r="T170" s="456">
        <f t="shared" si="24"/>
        <v>0</v>
      </c>
      <c r="U170" s="456">
        <f t="shared" si="24"/>
        <v>0</v>
      </c>
      <c r="V170" s="456">
        <f t="shared" si="24"/>
        <v>0</v>
      </c>
      <c r="W170" s="456">
        <f t="shared" si="24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5">D6+D17+D28+D39+D50+D61+D72+D83+D94+D105+D116+D127+D138+D149+D160</f>
        <v>362208835.51280409</v>
      </c>
      <c r="E171" s="451">
        <f t="shared" si="25"/>
        <v>0</v>
      </c>
      <c r="F171" s="453">
        <f t="shared" si="25"/>
        <v>12937089.010000022</v>
      </c>
      <c r="G171" s="451">
        <f t="shared" si="25"/>
        <v>194136753.97000015</v>
      </c>
      <c r="H171" s="453">
        <f t="shared" si="25"/>
        <v>211288487.38246909</v>
      </c>
      <c r="I171" s="517">
        <f t="shared" si="19"/>
        <v>-17151733.41246894</v>
      </c>
      <c r="J171" s="518">
        <f t="shared" si="20"/>
        <v>-8.1176847943547931E-2</v>
      </c>
      <c r="K171" s="452">
        <f t="shared" si="25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19"/>
        <v>0</v>
      </c>
      <c r="J172" s="134" t="str">
        <f t="shared" si="20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19"/>
        <v>0</v>
      </c>
      <c r="J173" s="333" t="str">
        <f t="shared" si="20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6">SUM(C175:C184)</f>
        <v>22018516</v>
      </c>
      <c r="D174" s="474">
        <f t="shared" si="26"/>
        <v>41624569.556634203</v>
      </c>
      <c r="E174" s="471">
        <f t="shared" si="26"/>
        <v>0</v>
      </c>
      <c r="F174" s="473">
        <f t="shared" si="26"/>
        <v>2896713.95</v>
      </c>
      <c r="G174" s="473">
        <f t="shared" si="26"/>
        <v>18728027.609999999</v>
      </c>
      <c r="H174" s="473">
        <f>H175+H176+H177+H178+H179</f>
        <v>20780998.908036619</v>
      </c>
      <c r="I174" s="45">
        <f t="shared" si="19"/>
        <v>-2052971.29803662</v>
      </c>
      <c r="J174" s="333">
        <f t="shared" si="20"/>
        <v>-9.8790789948151922E-2</v>
      </c>
      <c r="K174" s="472">
        <f t="shared" si="26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/>
      <c r="F175" s="760">
        <v>2459852.62</v>
      </c>
      <c r="G175" s="747">
        <f>15831313.66+F175</f>
        <v>18291166.280000001</v>
      </c>
      <c r="H175" s="756">
        <f>D175/12*7</f>
        <v>2939831.829929166</v>
      </c>
      <c r="I175" s="45">
        <f t="shared" si="19"/>
        <v>15351334.450070836</v>
      </c>
      <c r="J175" s="333">
        <f t="shared" si="20"/>
        <v>5.2218410229406622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/>
      <c r="F176" s="760"/>
      <c r="G176" s="747"/>
      <c r="H176" s="756">
        <f>D176/12*7</f>
        <v>3493051.9200499994</v>
      </c>
      <c r="I176" s="45">
        <f t="shared" si="19"/>
        <v>-3493051.9200499994</v>
      </c>
      <c r="J176" s="333">
        <f t="shared" si="20"/>
        <v>-1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/>
      <c r="F177" s="760"/>
      <c r="G177" s="747"/>
      <c r="H177" s="756">
        <f>D177/12*7</f>
        <v>8746183.6394716017</v>
      </c>
      <c r="I177" s="45">
        <f t="shared" si="19"/>
        <v>-8746183.6394716017</v>
      </c>
      <c r="J177" s="333">
        <f t="shared" si="20"/>
        <v>-1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/>
      <c r="F178" s="760">
        <v>436861.33</v>
      </c>
      <c r="G178" s="747">
        <f>F178</f>
        <v>436861.33</v>
      </c>
      <c r="H178" s="756">
        <f>D178/12*7</f>
        <v>4115019.9462166666</v>
      </c>
      <c r="I178" s="45">
        <f t="shared" si="19"/>
        <v>-3678158.6162166665</v>
      </c>
      <c r="J178" s="333">
        <f t="shared" si="20"/>
        <v>-0.89383737242837702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/>
      <c r="F179" s="760"/>
      <c r="G179" s="747"/>
      <c r="H179" s="756">
        <f>D179/12*7-3500000</f>
        <v>1486911.5723691862</v>
      </c>
      <c r="I179" s="45">
        <f t="shared" si="19"/>
        <v>-1486911.5723691862</v>
      </c>
      <c r="J179" s="333">
        <f t="shared" si="20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ref="H180:H195" si="27">D180/2</f>
        <v>0</v>
      </c>
      <c r="I180" s="45">
        <f t="shared" si="19"/>
        <v>0</v>
      </c>
      <c r="J180" s="333" t="str">
        <f t="shared" si="20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7"/>
        <v>0</v>
      </c>
      <c r="I181" s="45">
        <f t="shared" si="19"/>
        <v>0</v>
      </c>
      <c r="J181" s="333" t="str">
        <f t="shared" si="20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7"/>
        <v>0</v>
      </c>
      <c r="I182" s="45">
        <f t="shared" si="19"/>
        <v>0</v>
      </c>
      <c r="J182" s="333" t="str">
        <f t="shared" si="20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7"/>
        <v>0</v>
      </c>
      <c r="I183" s="45">
        <f t="shared" si="19"/>
        <v>0</v>
      </c>
      <c r="J183" s="333" t="str">
        <f t="shared" si="20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7"/>
        <v>0</v>
      </c>
      <c r="I184" s="45">
        <f t="shared" si="19"/>
        <v>0</v>
      </c>
      <c r="J184" s="333" t="str">
        <f t="shared" si="20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8">SUM(E186:E195)</f>
        <v>0</v>
      </c>
      <c r="F185" s="446">
        <f t="shared" si="28"/>
        <v>3234368.7300000004</v>
      </c>
      <c r="G185" s="446">
        <f t="shared" si="28"/>
        <v>34686249.514269598</v>
      </c>
      <c r="H185" s="446">
        <f t="shared" si="28"/>
        <v>44456802.658435307</v>
      </c>
      <c r="I185" s="45">
        <f t="shared" si="19"/>
        <v>-9770553.1441657096</v>
      </c>
      <c r="J185" s="333">
        <f t="shared" si="20"/>
        <v>-0.21977633477678424</v>
      </c>
      <c r="K185" s="445">
        <f t="shared" si="28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/>
      <c r="F186" s="760">
        <v>2077627.06</v>
      </c>
      <c r="G186" s="747">
        <f>19257309.1142696+F186</f>
        <v>21334936.174269598</v>
      </c>
      <c r="H186" s="756">
        <f>D186/12*7</f>
        <v>29889100.646250315</v>
      </c>
      <c r="I186" s="45">
        <f t="shared" si="19"/>
        <v>-8554164.471980717</v>
      </c>
      <c r="J186" s="333">
        <f t="shared" si="20"/>
        <v>-0.286196783677861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/>
      <c r="F187" s="760">
        <v>1156741.6700000002</v>
      </c>
      <c r="G187" s="747">
        <f>12194571.67+F187</f>
        <v>13351313.34</v>
      </c>
      <c r="H187" s="756">
        <f>D187/12*7</f>
        <v>11004868.728309166</v>
      </c>
      <c r="I187" s="45">
        <f t="shared" si="19"/>
        <v>2346444.6116908342</v>
      </c>
      <c r="J187" s="333">
        <f t="shared" si="20"/>
        <v>0.2132187734011573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/>
      <c r="F188" s="760"/>
      <c r="G188" s="747"/>
      <c r="H188" s="756">
        <f>D188/12*7</f>
        <v>1860717.3961541667</v>
      </c>
      <c r="I188" s="45">
        <f t="shared" si="19"/>
        <v>-1860717.3961541667</v>
      </c>
      <c r="J188" s="333">
        <f t="shared" si="20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/>
      <c r="F189" s="760"/>
      <c r="G189" s="747"/>
      <c r="H189" s="756">
        <f>D189/12*7</f>
        <v>1179789.1584675005</v>
      </c>
      <c r="I189" s="45">
        <f t="shared" si="19"/>
        <v>-1179789.1584675005</v>
      </c>
      <c r="J189" s="333">
        <f t="shared" si="20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/>
      <c r="F190" s="760"/>
      <c r="G190" s="747"/>
      <c r="H190" s="756">
        <f>D190/12*7</f>
        <v>522326.72925416665</v>
      </c>
      <c r="I190" s="45">
        <f t="shared" si="19"/>
        <v>-522326.72925416665</v>
      </c>
      <c r="J190" s="333">
        <f t="shared" si="20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>
        <f t="shared" si="27"/>
        <v>0</v>
      </c>
      <c r="I191" s="45">
        <f t="shared" si="19"/>
        <v>0</v>
      </c>
      <c r="J191" s="333" t="str">
        <f t="shared" si="20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7"/>
        <v>0</v>
      </c>
      <c r="I192" s="45">
        <f t="shared" si="19"/>
        <v>0</v>
      </c>
      <c r="J192" s="333" t="str">
        <f t="shared" si="20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7"/>
        <v>0</v>
      </c>
      <c r="I193" s="45">
        <f t="shared" si="19"/>
        <v>0</v>
      </c>
      <c r="J193" s="333" t="str">
        <f t="shared" si="20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7"/>
        <v>0</v>
      </c>
      <c r="I194" s="45">
        <f t="shared" si="19"/>
        <v>0</v>
      </c>
      <c r="J194" s="333" t="str">
        <f t="shared" si="20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7"/>
        <v>0</v>
      </c>
      <c r="I195" s="45">
        <f t="shared" si="19"/>
        <v>0</v>
      </c>
      <c r="J195" s="333" t="str">
        <f t="shared" si="20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29">SUM(C197:C206)</f>
        <v>22716466</v>
      </c>
      <c r="D196" s="447">
        <f t="shared" si="29"/>
        <v>11240580.214849997</v>
      </c>
      <c r="E196" s="444">
        <f t="shared" si="29"/>
        <v>0</v>
      </c>
      <c r="F196" s="446">
        <f t="shared" si="29"/>
        <v>2169316.23</v>
      </c>
      <c r="G196" s="446">
        <f t="shared" si="29"/>
        <v>18056364.3071943</v>
      </c>
      <c r="H196" s="446">
        <f t="shared" si="29"/>
        <v>6557005.1253291657</v>
      </c>
      <c r="I196" s="45">
        <f t="shared" si="19"/>
        <v>11499359.181865133</v>
      </c>
      <c r="J196" s="333">
        <f t="shared" si="20"/>
        <v>1.7537517452051494</v>
      </c>
      <c r="K196" s="445">
        <f t="shared" si="29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/>
      <c r="F197" s="760">
        <v>2169316.23</v>
      </c>
      <c r="G197" s="747">
        <f>15887048.0771943+F197</f>
        <v>18056364.3071943</v>
      </c>
      <c r="H197" s="756">
        <f>D197/12*7</f>
        <v>6557005.1253291657</v>
      </c>
      <c r="I197" s="45">
        <f t="shared" si="19"/>
        <v>11499359.181865133</v>
      </c>
      <c r="J197" s="333">
        <f t="shared" si="20"/>
        <v>1.7537517452051494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/>
      <c r="G198" s="747"/>
      <c r="H198" s="760"/>
      <c r="I198" s="45">
        <f t="shared" ref="I198:I261" si="30">G198-H198</f>
        <v>0</v>
      </c>
      <c r="J198" s="333" t="str">
        <f t="shared" ref="J198:J261" si="31">IF(I198=0,"",I198/H198)</f>
        <v/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/>
      <c r="I199" s="45">
        <f t="shared" si="30"/>
        <v>0</v>
      </c>
      <c r="J199" s="333" t="str">
        <f t="shared" si="31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/>
      <c r="I200" s="45">
        <f t="shared" si="30"/>
        <v>0</v>
      </c>
      <c r="J200" s="333" t="str">
        <f t="shared" si="31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/>
      <c r="F201" s="475"/>
      <c r="G201" s="387"/>
      <c r="H201" s="475"/>
      <c r="I201" s="45">
        <f t="shared" si="30"/>
        <v>0</v>
      </c>
      <c r="J201" s="333" t="str">
        <f t="shared" si="31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/>
      <c r="I202" s="45">
        <f t="shared" si="30"/>
        <v>0</v>
      </c>
      <c r="J202" s="333" t="str">
        <f t="shared" si="31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30"/>
        <v>0</v>
      </c>
      <c r="J203" s="333" t="str">
        <f t="shared" si="31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30"/>
        <v>0</v>
      </c>
      <c r="J204" s="333" t="str">
        <f t="shared" si="31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30"/>
        <v>0</v>
      </c>
      <c r="J205" s="333" t="str">
        <f t="shared" si="31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30"/>
        <v>0</v>
      </c>
      <c r="J206" s="333" t="str">
        <f t="shared" si="31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2">SUM(C208:C217)</f>
        <v>41578873</v>
      </c>
      <c r="D207" s="447">
        <f t="shared" si="32"/>
        <v>98692761.061682031</v>
      </c>
      <c r="E207" s="444">
        <f t="shared" si="32"/>
        <v>0</v>
      </c>
      <c r="F207" s="446">
        <f t="shared" si="32"/>
        <v>4786487.9800000004</v>
      </c>
      <c r="G207" s="446">
        <f>SUM(G208:G217)</f>
        <v>51833071.872919366</v>
      </c>
      <c r="H207" s="446">
        <f>SUM(H208:H217)</f>
        <v>57570777.285981178</v>
      </c>
      <c r="I207" s="45">
        <f t="shared" si="30"/>
        <v>-5737705.4130618125</v>
      </c>
      <c r="J207" s="333">
        <f t="shared" si="31"/>
        <v>-9.9663504360205629E-2</v>
      </c>
      <c r="K207" s="445">
        <f t="shared" si="32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/>
      <c r="F208" s="475">
        <v>3400132.8800000004</v>
      </c>
      <c r="G208" s="387">
        <f>26465861.1773393+F208</f>
        <v>29865994.057339299</v>
      </c>
      <c r="H208" s="756">
        <f t="shared" ref="H208:H214" si="33">D208/12*7</f>
        <v>28518892.059346091</v>
      </c>
      <c r="I208" s="45">
        <f t="shared" si="30"/>
        <v>1347101.9979932085</v>
      </c>
      <c r="J208" s="333">
        <f t="shared" si="31"/>
        <v>4.7235425387142344E-2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/>
      <c r="F209" s="475">
        <v>841010.56</v>
      </c>
      <c r="G209" s="387">
        <f>5788049.49107476+F209</f>
        <v>6629060.05107476</v>
      </c>
      <c r="H209" s="756">
        <f t="shared" si="33"/>
        <v>7315254.9714000877</v>
      </c>
      <c r="I209" s="45">
        <f t="shared" si="30"/>
        <v>-686194.92032532766</v>
      </c>
      <c r="J209" s="333">
        <f t="shared" si="31"/>
        <v>-9.3803281363136801E-2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/>
      <c r="F210" s="475"/>
      <c r="G210" s="387"/>
      <c r="H210" s="756">
        <f t="shared" si="33"/>
        <v>10523660.339535</v>
      </c>
      <c r="I210" s="45">
        <f t="shared" si="30"/>
        <v>-10523660.339535</v>
      </c>
      <c r="J210" s="333">
        <f t="shared" si="31"/>
        <v>-1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/>
      <c r="F211" s="475"/>
      <c r="G211" s="387"/>
      <c r="H211" s="756">
        <f t="shared" si="33"/>
        <v>995186.80219583341</v>
      </c>
      <c r="I211" s="45">
        <f t="shared" si="30"/>
        <v>-995186.80219583341</v>
      </c>
      <c r="J211" s="333">
        <f t="shared" si="31"/>
        <v>-1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/>
      <c r="F212" s="475"/>
      <c r="G212" s="387"/>
      <c r="H212" s="756">
        <f t="shared" si="33"/>
        <v>1875352.6207500002</v>
      </c>
      <c r="I212" s="45">
        <f t="shared" si="30"/>
        <v>-1875352.6207500002</v>
      </c>
      <c r="J212" s="333">
        <f t="shared" si="31"/>
        <v>-1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/>
      <c r="F213" s="475"/>
      <c r="G213" s="387">
        <v>11174591.272391569</v>
      </c>
      <c r="H213" s="756">
        <f t="shared" si="33"/>
        <v>3709661.9191041663</v>
      </c>
      <c r="I213" s="45">
        <f t="shared" si="30"/>
        <v>7464929.3532874025</v>
      </c>
      <c r="J213" s="333">
        <f t="shared" si="31"/>
        <v>2.0122937119536983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/>
      <c r="F214" s="475">
        <v>545344.54</v>
      </c>
      <c r="G214" s="387">
        <f>3618081.95211374+F214</f>
        <v>4163426.4921137402</v>
      </c>
      <c r="H214" s="756">
        <f t="shared" si="33"/>
        <v>4632768.5736500006</v>
      </c>
      <c r="I214" s="45">
        <f t="shared" si="30"/>
        <v>-469342.08153626043</v>
      </c>
      <c r="J214" s="333">
        <f t="shared" si="31"/>
        <v>-0.10130920076728153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ref="H215:H228" si="34">D215/2</f>
        <v>0</v>
      </c>
      <c r="I215" s="45">
        <f t="shared" si="30"/>
        <v>0</v>
      </c>
      <c r="J215" s="333" t="str">
        <f t="shared" si="31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>
        <f t="shared" si="34"/>
        <v>0</v>
      </c>
      <c r="I216" s="45">
        <f t="shared" si="30"/>
        <v>0</v>
      </c>
      <c r="J216" s="333" t="str">
        <f t="shared" si="31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34"/>
        <v>0</v>
      </c>
      <c r="I217" s="45">
        <f t="shared" si="30"/>
        <v>0</v>
      </c>
      <c r="J217" s="333" t="str">
        <f t="shared" si="31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5">SUM(C219:C228)</f>
        <v>3970204</v>
      </c>
      <c r="D218" s="447">
        <f t="shared" si="35"/>
        <v>28736239.861502983</v>
      </c>
      <c r="E218" s="444">
        <f t="shared" si="35"/>
        <v>0</v>
      </c>
      <c r="F218" s="446">
        <f t="shared" si="35"/>
        <v>2861234.18</v>
      </c>
      <c r="G218" s="446">
        <f t="shared" si="35"/>
        <v>8983582.450000003</v>
      </c>
      <c r="H218" s="446">
        <f t="shared" si="35"/>
        <v>16762806.585876737</v>
      </c>
      <c r="I218" s="45">
        <f t="shared" si="30"/>
        <v>-7779224.1358767338</v>
      </c>
      <c r="J218" s="333">
        <f t="shared" si="31"/>
        <v>-0.46407647168291066</v>
      </c>
      <c r="K218" s="445">
        <f t="shared" si="35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/>
      <c r="F219" s="475">
        <v>305384.93000000005</v>
      </c>
      <c r="G219" s="387">
        <f>2137132.14+F219</f>
        <v>2442517.0700000003</v>
      </c>
      <c r="H219" s="756">
        <f t="shared" ref="H219:H225" si="36">D219/12*7</f>
        <v>3627363.4094150723</v>
      </c>
      <c r="I219" s="45">
        <f t="shared" si="30"/>
        <v>-1184846.339415072</v>
      </c>
      <c r="J219" s="333">
        <f t="shared" si="31"/>
        <v>-0.32664120069682612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/>
      <c r="F220" s="475">
        <v>351819.05</v>
      </c>
      <c r="G220" s="387">
        <f>1803269.09+F220</f>
        <v>2155088.14</v>
      </c>
      <c r="H220" s="756">
        <f t="shared" si="36"/>
        <v>2148074.9663741663</v>
      </c>
      <c r="I220" s="45">
        <f t="shared" si="30"/>
        <v>7013.1736258338206</v>
      </c>
      <c r="J220" s="333">
        <f t="shared" si="31"/>
        <v>3.2648644649826519E-3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/>
      <c r="F221" s="475">
        <v>247632.7</v>
      </c>
      <c r="G221" s="387">
        <f>2181947.04+F221</f>
        <v>2429579.7400000002</v>
      </c>
      <c r="H221" s="756">
        <f t="shared" si="36"/>
        <v>727446.09965416673</v>
      </c>
      <c r="I221" s="45">
        <f t="shared" si="30"/>
        <v>1702133.6403458335</v>
      </c>
      <c r="J221" s="333">
        <f t="shared" si="31"/>
        <v>2.3398759594079075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/>
      <c r="F222" s="475">
        <v>1860189.79</v>
      </c>
      <c r="G222" s="387">
        <f>F222</f>
        <v>1860189.79</v>
      </c>
      <c r="H222" s="756">
        <f t="shared" si="36"/>
        <v>6429271.0025541661</v>
      </c>
      <c r="I222" s="45">
        <f t="shared" si="30"/>
        <v>-4569081.2125541661</v>
      </c>
      <c r="J222" s="333">
        <f t="shared" si="31"/>
        <v>-0.71066862957542154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/>
      <c r="F223" s="475">
        <v>33422.740000000005</v>
      </c>
      <c r="G223" s="387">
        <f>F223</f>
        <v>33422.740000000005</v>
      </c>
      <c r="H223" s="756">
        <f t="shared" si="36"/>
        <v>229521.44690416657</v>
      </c>
      <c r="I223" s="45">
        <f t="shared" si="30"/>
        <v>-196098.70690416655</v>
      </c>
      <c r="J223" s="333">
        <f t="shared" si="31"/>
        <v>-0.85438075416997872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/>
      <c r="F224" s="475">
        <v>62784.97</v>
      </c>
      <c r="G224" s="387">
        <f>F224</f>
        <v>62784.97</v>
      </c>
      <c r="H224" s="756">
        <f t="shared" si="36"/>
        <v>389535.0139916669</v>
      </c>
      <c r="I224" s="45">
        <f t="shared" si="30"/>
        <v>-326750.04399166687</v>
      </c>
      <c r="J224" s="333">
        <f t="shared" si="31"/>
        <v>-0.83882072793244933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/>
      <c r="F225" s="475"/>
      <c r="G225" s="387"/>
      <c r="H225" s="756">
        <f t="shared" si="36"/>
        <v>3211594.6469833334</v>
      </c>
      <c r="I225" s="45">
        <f t="shared" si="30"/>
        <v>-3211594.6469833334</v>
      </c>
      <c r="J225" s="333">
        <f t="shared" si="31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4"/>
        <v>0</v>
      </c>
      <c r="I226" s="45">
        <f t="shared" si="30"/>
        <v>0</v>
      </c>
      <c r="J226" s="333" t="str">
        <f t="shared" si="31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4"/>
        <v>0</v>
      </c>
      <c r="I227" s="45">
        <f t="shared" si="30"/>
        <v>0</v>
      </c>
      <c r="J227" s="333" t="str">
        <f t="shared" si="31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4"/>
        <v>0</v>
      </c>
      <c r="I228" s="45">
        <f t="shared" si="30"/>
        <v>0</v>
      </c>
      <c r="J228" s="333" t="str">
        <f t="shared" si="31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7">SUM(C230:C239)</f>
        <v>0</v>
      </c>
      <c r="D229" s="447">
        <f t="shared" si="37"/>
        <v>0</v>
      </c>
      <c r="E229" s="444">
        <f t="shared" si="37"/>
        <v>0</v>
      </c>
      <c r="F229" s="446">
        <f t="shared" si="37"/>
        <v>0</v>
      </c>
      <c r="G229" s="444">
        <f t="shared" si="37"/>
        <v>0</v>
      </c>
      <c r="H229" s="446">
        <f t="shared" si="37"/>
        <v>0</v>
      </c>
      <c r="I229" s="45">
        <f t="shared" si="30"/>
        <v>0</v>
      </c>
      <c r="J229" s="333" t="str">
        <f t="shared" si="31"/>
        <v/>
      </c>
      <c r="K229" s="445">
        <f t="shared" si="37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30"/>
        <v>0</v>
      </c>
      <c r="J230" s="333" t="str">
        <f t="shared" si="31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30"/>
        <v>0</v>
      </c>
      <c r="J231" s="333" t="str">
        <f t="shared" si="31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30"/>
        <v>0</v>
      </c>
      <c r="J232" s="333" t="str">
        <f t="shared" si="31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30"/>
        <v>0</v>
      </c>
      <c r="J233" s="333" t="str">
        <f t="shared" si="31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30"/>
        <v>0</v>
      </c>
      <c r="J234" s="333" t="str">
        <f t="shared" si="31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30"/>
        <v>0</v>
      </c>
      <c r="J235" s="333" t="str">
        <f t="shared" si="31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30"/>
        <v>0</v>
      </c>
      <c r="J236" s="333" t="str">
        <f t="shared" si="31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30"/>
        <v>0</v>
      </c>
      <c r="J237" s="333" t="str">
        <f t="shared" si="31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30"/>
        <v>0</v>
      </c>
      <c r="J238" s="333" t="str">
        <f t="shared" si="31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30"/>
        <v>0</v>
      </c>
      <c r="J239" s="333" t="str">
        <f t="shared" si="31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8">SUM(C241:C250)</f>
        <v>0</v>
      </c>
      <c r="D240" s="447">
        <f t="shared" si="38"/>
        <v>0</v>
      </c>
      <c r="E240" s="444">
        <f t="shared" si="38"/>
        <v>0</v>
      </c>
      <c r="F240" s="446">
        <f t="shared" si="38"/>
        <v>0</v>
      </c>
      <c r="G240" s="444">
        <f t="shared" si="38"/>
        <v>0</v>
      </c>
      <c r="H240" s="446">
        <f t="shared" si="38"/>
        <v>0</v>
      </c>
      <c r="I240" s="45">
        <f t="shared" si="30"/>
        <v>0</v>
      </c>
      <c r="J240" s="333" t="str">
        <f t="shared" si="31"/>
        <v/>
      </c>
      <c r="K240" s="445">
        <f t="shared" si="38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30"/>
        <v>0</v>
      </c>
      <c r="J241" s="333" t="str">
        <f t="shared" si="31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30"/>
        <v>0</v>
      </c>
      <c r="J242" s="333" t="str">
        <f t="shared" si="31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30"/>
        <v>0</v>
      </c>
      <c r="J243" s="333" t="str">
        <f t="shared" si="31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30"/>
        <v>0</v>
      </c>
      <c r="J244" s="333" t="str">
        <f t="shared" si="31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30"/>
        <v>0</v>
      </c>
      <c r="J245" s="333" t="str">
        <f t="shared" si="31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30"/>
        <v>0</v>
      </c>
      <c r="J246" s="333" t="str">
        <f t="shared" si="31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30"/>
        <v>0</v>
      </c>
      <c r="J247" s="333" t="str">
        <f t="shared" si="31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30"/>
        <v>0</v>
      </c>
      <c r="J248" s="333" t="str">
        <f t="shared" si="31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30"/>
        <v>0</v>
      </c>
      <c r="J249" s="333" t="str">
        <f t="shared" si="31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30"/>
        <v>0</v>
      </c>
      <c r="J250" s="333" t="str">
        <f t="shared" si="31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39">SUM(C252:C261)</f>
        <v>0</v>
      </c>
      <c r="D251" s="447">
        <f t="shared" si="39"/>
        <v>0</v>
      </c>
      <c r="E251" s="444">
        <f t="shared" si="39"/>
        <v>0</v>
      </c>
      <c r="F251" s="446">
        <f t="shared" si="39"/>
        <v>0</v>
      </c>
      <c r="G251" s="444">
        <f t="shared" si="39"/>
        <v>0</v>
      </c>
      <c r="H251" s="446">
        <f t="shared" si="39"/>
        <v>0</v>
      </c>
      <c r="I251" s="45">
        <f t="shared" si="30"/>
        <v>0</v>
      </c>
      <c r="J251" s="333" t="str">
        <f t="shared" si="31"/>
        <v/>
      </c>
      <c r="K251" s="445">
        <f t="shared" si="39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30"/>
        <v>0</v>
      </c>
      <c r="J252" s="333" t="str">
        <f t="shared" si="31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30"/>
        <v>0</v>
      </c>
      <c r="J253" s="333" t="str">
        <f t="shared" si="31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30"/>
        <v>0</v>
      </c>
      <c r="J254" s="333" t="str">
        <f t="shared" si="31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30"/>
        <v>0</v>
      </c>
      <c r="J255" s="333" t="str">
        <f t="shared" si="31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30"/>
        <v>0</v>
      </c>
      <c r="J256" s="333" t="str">
        <f t="shared" si="31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30"/>
        <v>0</v>
      </c>
      <c r="J257" s="333" t="str">
        <f t="shared" si="31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30"/>
        <v>0</v>
      </c>
      <c r="J258" s="333" t="str">
        <f t="shared" si="31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30"/>
        <v>0</v>
      </c>
      <c r="J259" s="333" t="str">
        <f t="shared" si="31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30"/>
        <v>0</v>
      </c>
      <c r="J260" s="333" t="str">
        <f t="shared" si="31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30"/>
        <v>0</v>
      </c>
      <c r="J261" s="333" t="str">
        <f t="shared" si="31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40">SUM(C263:C272)</f>
        <v>0</v>
      </c>
      <c r="D262" s="447">
        <f t="shared" si="40"/>
        <v>0</v>
      </c>
      <c r="E262" s="444">
        <f t="shared" si="40"/>
        <v>0</v>
      </c>
      <c r="F262" s="446">
        <f t="shared" si="40"/>
        <v>0</v>
      </c>
      <c r="G262" s="444">
        <f t="shared" si="40"/>
        <v>0</v>
      </c>
      <c r="H262" s="446">
        <f t="shared" si="40"/>
        <v>0</v>
      </c>
      <c r="I262" s="45">
        <f t="shared" ref="I262:I325" si="41">G262-H262</f>
        <v>0</v>
      </c>
      <c r="J262" s="333" t="str">
        <f t="shared" ref="J262:J325" si="42">IF(I262=0,"",I262/H262)</f>
        <v/>
      </c>
      <c r="K262" s="445">
        <f t="shared" si="40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41"/>
        <v>0</v>
      </c>
      <c r="J263" s="333" t="str">
        <f t="shared" si="42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41"/>
        <v>0</v>
      </c>
      <c r="J264" s="333" t="str">
        <f t="shared" si="42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41"/>
        <v>0</v>
      </c>
      <c r="J265" s="333" t="str">
        <f t="shared" si="42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1"/>
        <v>0</v>
      </c>
      <c r="J266" s="333" t="str">
        <f t="shared" si="42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1"/>
        <v>0</v>
      </c>
      <c r="J267" s="333" t="str">
        <f t="shared" si="42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1"/>
        <v>0</v>
      </c>
      <c r="J268" s="333" t="str">
        <f t="shared" si="42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1"/>
        <v>0</v>
      </c>
      <c r="J269" s="333" t="str">
        <f t="shared" si="42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1"/>
        <v>0</v>
      </c>
      <c r="J270" s="333" t="str">
        <f t="shared" si="42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1"/>
        <v>0</v>
      </c>
      <c r="J271" s="333" t="str">
        <f t="shared" si="42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1"/>
        <v>0</v>
      </c>
      <c r="J272" s="333" t="str">
        <f t="shared" si="42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43">SUM(C274:C283)</f>
        <v>0</v>
      </c>
      <c r="D273" s="447">
        <f t="shared" si="43"/>
        <v>0</v>
      </c>
      <c r="E273" s="444">
        <f t="shared" si="43"/>
        <v>0</v>
      </c>
      <c r="F273" s="446">
        <f t="shared" si="43"/>
        <v>0</v>
      </c>
      <c r="G273" s="444">
        <f t="shared" si="43"/>
        <v>0</v>
      </c>
      <c r="H273" s="446">
        <f t="shared" si="43"/>
        <v>0</v>
      </c>
      <c r="I273" s="45">
        <f t="shared" si="41"/>
        <v>0</v>
      </c>
      <c r="J273" s="333" t="str">
        <f t="shared" si="42"/>
        <v/>
      </c>
      <c r="K273" s="445">
        <f t="shared" si="43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41"/>
        <v>0</v>
      </c>
      <c r="J274" s="333" t="str">
        <f t="shared" si="42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41"/>
        <v>0</v>
      </c>
      <c r="J275" s="333" t="str">
        <f t="shared" si="42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41"/>
        <v>0</v>
      </c>
      <c r="J276" s="333" t="str">
        <f t="shared" si="42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1"/>
        <v>0</v>
      </c>
      <c r="J277" s="333" t="str">
        <f t="shared" si="42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1"/>
        <v>0</v>
      </c>
      <c r="J278" s="333" t="str">
        <f t="shared" si="42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1"/>
        <v>0</v>
      </c>
      <c r="J279" s="333" t="str">
        <f t="shared" si="42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1"/>
        <v>0</v>
      </c>
      <c r="J280" s="333" t="str">
        <f t="shared" si="42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1"/>
        <v>0</v>
      </c>
      <c r="J281" s="333" t="str">
        <f t="shared" si="42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1"/>
        <v>0</v>
      </c>
      <c r="J282" s="333" t="str">
        <f t="shared" si="42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1"/>
        <v>0</v>
      </c>
      <c r="J283" s="333" t="str">
        <f t="shared" si="42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4">SUM(C285:C294)</f>
        <v>0</v>
      </c>
      <c r="D284" s="447">
        <f t="shared" si="44"/>
        <v>0</v>
      </c>
      <c r="E284" s="444">
        <f t="shared" si="44"/>
        <v>0</v>
      </c>
      <c r="F284" s="446">
        <f t="shared" si="44"/>
        <v>0</v>
      </c>
      <c r="G284" s="444">
        <f t="shared" si="44"/>
        <v>0</v>
      </c>
      <c r="H284" s="446">
        <f t="shared" si="44"/>
        <v>0</v>
      </c>
      <c r="I284" s="45">
        <f t="shared" si="41"/>
        <v>0</v>
      </c>
      <c r="J284" s="333" t="str">
        <f t="shared" si="42"/>
        <v/>
      </c>
      <c r="K284" s="445">
        <f t="shared" si="44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41"/>
        <v>0</v>
      </c>
      <c r="J285" s="333" t="str">
        <f t="shared" si="42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41"/>
        <v>0</v>
      </c>
      <c r="J286" s="333" t="str">
        <f t="shared" si="42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41"/>
        <v>0</v>
      </c>
      <c r="J287" s="333" t="str">
        <f t="shared" si="42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1"/>
        <v>0</v>
      </c>
      <c r="J288" s="333" t="str">
        <f t="shared" si="42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1"/>
        <v>0</v>
      </c>
      <c r="J289" s="333" t="str">
        <f t="shared" si="42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1"/>
        <v>0</v>
      </c>
      <c r="J290" s="333" t="str">
        <f t="shared" si="42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1"/>
        <v>0</v>
      </c>
      <c r="J291" s="333" t="str">
        <f t="shared" si="42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1"/>
        <v>0</v>
      </c>
      <c r="J292" s="333" t="str">
        <f t="shared" si="42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1"/>
        <v>0</v>
      </c>
      <c r="J293" s="333" t="str">
        <f t="shared" si="42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1"/>
        <v>0</v>
      </c>
      <c r="J294" s="333" t="str">
        <f t="shared" si="42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5">SUM(C296:C305)</f>
        <v>0</v>
      </c>
      <c r="D295" s="447">
        <f t="shared" si="45"/>
        <v>0</v>
      </c>
      <c r="E295" s="444">
        <f t="shared" si="45"/>
        <v>0</v>
      </c>
      <c r="F295" s="446">
        <f t="shared" si="45"/>
        <v>0</v>
      </c>
      <c r="G295" s="444">
        <f t="shared" si="45"/>
        <v>0</v>
      </c>
      <c r="H295" s="446">
        <f t="shared" si="45"/>
        <v>0</v>
      </c>
      <c r="I295" s="45">
        <f t="shared" si="41"/>
        <v>0</v>
      </c>
      <c r="J295" s="333" t="str">
        <f t="shared" si="42"/>
        <v/>
      </c>
      <c r="K295" s="445">
        <f t="shared" si="45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41"/>
        <v>0</v>
      </c>
      <c r="J296" s="333" t="str">
        <f t="shared" si="42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41"/>
        <v>0</v>
      </c>
      <c r="J297" s="333" t="str">
        <f t="shared" si="42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41"/>
        <v>0</v>
      </c>
      <c r="J298" s="333" t="str">
        <f t="shared" si="42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1"/>
        <v>0</v>
      </c>
      <c r="J299" s="333" t="str">
        <f t="shared" si="42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1"/>
        <v>0</v>
      </c>
      <c r="J300" s="333" t="str">
        <f t="shared" si="42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1"/>
        <v>0</v>
      </c>
      <c r="J301" s="333" t="str">
        <f t="shared" si="42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1"/>
        <v>0</v>
      </c>
      <c r="J302" s="333" t="str">
        <f t="shared" si="42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1"/>
        <v>0</v>
      </c>
      <c r="J303" s="333" t="str">
        <f t="shared" si="42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1"/>
        <v>0</v>
      </c>
      <c r="J304" s="333" t="str">
        <f t="shared" si="42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1"/>
        <v>0</v>
      </c>
      <c r="J305" s="333" t="str">
        <f t="shared" si="42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6">SUM(C307:C316)</f>
        <v>0</v>
      </c>
      <c r="D306" s="447">
        <f t="shared" si="46"/>
        <v>0</v>
      </c>
      <c r="E306" s="444">
        <f t="shared" si="46"/>
        <v>0</v>
      </c>
      <c r="F306" s="446">
        <f t="shared" si="46"/>
        <v>0</v>
      </c>
      <c r="G306" s="444">
        <f t="shared" si="46"/>
        <v>0</v>
      </c>
      <c r="H306" s="446">
        <f t="shared" si="46"/>
        <v>0</v>
      </c>
      <c r="I306" s="45">
        <f t="shared" si="41"/>
        <v>0</v>
      </c>
      <c r="J306" s="333" t="str">
        <f t="shared" si="42"/>
        <v/>
      </c>
      <c r="K306" s="445">
        <f t="shared" si="46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41"/>
        <v>0</v>
      </c>
      <c r="J307" s="333" t="str">
        <f t="shared" si="42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41"/>
        <v>0</v>
      </c>
      <c r="J308" s="333" t="str">
        <f t="shared" si="42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41"/>
        <v>0</v>
      </c>
      <c r="J309" s="333" t="str">
        <f t="shared" si="42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1"/>
        <v>0</v>
      </c>
      <c r="J310" s="333" t="str">
        <f t="shared" si="42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1"/>
        <v>0</v>
      </c>
      <c r="J311" s="333" t="str">
        <f t="shared" si="42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1"/>
        <v>0</v>
      </c>
      <c r="J312" s="333" t="str">
        <f t="shared" si="42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1"/>
        <v>0</v>
      </c>
      <c r="J313" s="333" t="str">
        <f t="shared" si="42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1"/>
        <v>0</v>
      </c>
      <c r="J314" s="333" t="str">
        <f t="shared" si="42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1"/>
        <v>0</v>
      </c>
      <c r="J315" s="333" t="str">
        <f t="shared" si="42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1"/>
        <v>0</v>
      </c>
      <c r="J316" s="333" t="str">
        <f t="shared" si="42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7">SUM(C318:C327)</f>
        <v>0</v>
      </c>
      <c r="D317" s="447">
        <f t="shared" si="47"/>
        <v>0</v>
      </c>
      <c r="E317" s="444">
        <f t="shared" si="47"/>
        <v>0</v>
      </c>
      <c r="F317" s="446">
        <f t="shared" si="47"/>
        <v>0</v>
      </c>
      <c r="G317" s="444">
        <f t="shared" si="47"/>
        <v>0</v>
      </c>
      <c r="H317" s="446">
        <f t="shared" si="47"/>
        <v>0</v>
      </c>
      <c r="I317" s="45">
        <f t="shared" si="41"/>
        <v>0</v>
      </c>
      <c r="J317" s="333" t="str">
        <f t="shared" si="42"/>
        <v/>
      </c>
      <c r="K317" s="445">
        <f t="shared" si="47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41"/>
        <v>0</v>
      </c>
      <c r="J318" s="333" t="str">
        <f t="shared" si="42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41"/>
        <v>0</v>
      </c>
      <c r="J319" s="333" t="str">
        <f t="shared" si="42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41"/>
        <v>0</v>
      </c>
      <c r="J320" s="333" t="str">
        <f t="shared" si="42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1"/>
        <v>0</v>
      </c>
      <c r="J321" s="333" t="str">
        <f t="shared" si="42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1"/>
        <v>0</v>
      </c>
      <c r="J322" s="333" t="str">
        <f t="shared" si="42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1"/>
        <v>0</v>
      </c>
      <c r="J323" s="333" t="str">
        <f t="shared" si="42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1"/>
        <v>0</v>
      </c>
      <c r="J324" s="333" t="str">
        <f t="shared" si="42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1"/>
        <v>0</v>
      </c>
      <c r="J325" s="333" t="str">
        <f t="shared" si="42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8">G326-H326</f>
        <v>0</v>
      </c>
      <c r="J326" s="333" t="str">
        <f t="shared" ref="J326:J341" si="49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8"/>
        <v>0</v>
      </c>
      <c r="J327" s="333" t="str">
        <f t="shared" si="49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50">SUM(C329:C338)</f>
        <v>0</v>
      </c>
      <c r="D328" s="447">
        <f t="shared" si="50"/>
        <v>0</v>
      </c>
      <c r="E328" s="444">
        <f t="shared" si="50"/>
        <v>0</v>
      </c>
      <c r="F328" s="446">
        <f t="shared" si="50"/>
        <v>0</v>
      </c>
      <c r="G328" s="444">
        <f t="shared" si="50"/>
        <v>0</v>
      </c>
      <c r="H328" s="446">
        <f t="shared" si="50"/>
        <v>0</v>
      </c>
      <c r="I328" s="45">
        <f t="shared" si="48"/>
        <v>0</v>
      </c>
      <c r="J328" s="333" t="str">
        <f t="shared" si="49"/>
        <v/>
      </c>
      <c r="K328" s="445">
        <f t="shared" si="50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8"/>
        <v>0</v>
      </c>
      <c r="J329" s="333" t="str">
        <f t="shared" si="49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8"/>
        <v>0</v>
      </c>
      <c r="J330" s="333" t="str">
        <f t="shared" si="49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8"/>
        <v>0</v>
      </c>
      <c r="J331" s="333" t="str">
        <f t="shared" si="49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8"/>
        <v>0</v>
      </c>
      <c r="J332" s="333" t="str">
        <f t="shared" si="49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8"/>
        <v>0</v>
      </c>
      <c r="J333" s="333" t="str">
        <f t="shared" si="49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8"/>
        <v>0</v>
      </c>
      <c r="J334" s="333" t="str">
        <f t="shared" si="49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8"/>
        <v>0</v>
      </c>
      <c r="J335" s="333" t="str">
        <f t="shared" si="49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8"/>
        <v>0</v>
      </c>
      <c r="J336" s="333" t="str">
        <f t="shared" si="49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8"/>
        <v>0</v>
      </c>
      <c r="J337" s="333" t="str">
        <f t="shared" si="49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8"/>
        <v>0</v>
      </c>
      <c r="J338" s="333" t="str">
        <f t="shared" si="49"/>
        <v/>
      </c>
      <c r="K338" s="398"/>
      <c r="L338" s="455">
        <f t="shared" ref="L338:W338" si="51">SUM(L173:L249)</f>
        <v>0</v>
      </c>
      <c r="M338" s="456">
        <f t="shared" si="51"/>
        <v>0</v>
      </c>
      <c r="N338" s="456">
        <f t="shared" si="51"/>
        <v>0</v>
      </c>
      <c r="O338" s="456">
        <f t="shared" si="51"/>
        <v>0</v>
      </c>
      <c r="P338" s="456">
        <f t="shared" si="51"/>
        <v>0</v>
      </c>
      <c r="Q338" s="456">
        <f t="shared" si="51"/>
        <v>0</v>
      </c>
      <c r="R338" s="456">
        <f t="shared" si="51"/>
        <v>0</v>
      </c>
      <c r="S338" s="456">
        <f t="shared" si="51"/>
        <v>0</v>
      </c>
      <c r="T338" s="456">
        <f t="shared" si="51"/>
        <v>0</v>
      </c>
      <c r="U338" s="456">
        <f t="shared" si="51"/>
        <v>0</v>
      </c>
      <c r="V338" s="456">
        <f t="shared" si="51"/>
        <v>0</v>
      </c>
      <c r="W338" s="456">
        <f t="shared" si="51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52">C174+C185+C196+C207+C218+C229+C240+C251+C262++C273+C284+C295+C306+C317+C328</f>
        <v>284874946</v>
      </c>
      <c r="D339" s="478">
        <f t="shared" si="52"/>
        <v>256505812.39484403</v>
      </c>
      <c r="E339" s="433">
        <f t="shared" si="52"/>
        <v>0</v>
      </c>
      <c r="F339" s="477">
        <f t="shared" si="52"/>
        <v>15948121.07</v>
      </c>
      <c r="G339" s="477">
        <f t="shared" si="52"/>
        <v>132287295.75438327</v>
      </c>
      <c r="H339" s="477">
        <f t="shared" si="52"/>
        <v>146128390.56365901</v>
      </c>
      <c r="I339" s="433">
        <f t="shared" si="48"/>
        <v>-13841094.809275746</v>
      </c>
      <c r="J339" s="433">
        <f t="shared" si="49"/>
        <v>-9.4718724786379174E-2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52"/>
        <v>10412313.720000001</v>
      </c>
      <c r="G340" s="51"/>
      <c r="H340" s="50"/>
      <c r="I340" s="51">
        <f t="shared" si="48"/>
        <v>0</v>
      </c>
      <c r="J340" s="51" t="str">
        <f t="shared" si="49"/>
        <v/>
      </c>
      <c r="K340" s="195"/>
      <c r="L340" s="483">
        <f t="shared" ref="L340:W340" si="53">L170-L338</f>
        <v>0</v>
      </c>
      <c r="M340" s="484">
        <f t="shared" si="53"/>
        <v>0</v>
      </c>
      <c r="N340" s="484">
        <f t="shared" si="53"/>
        <v>0</v>
      </c>
      <c r="O340" s="484">
        <f t="shared" si="53"/>
        <v>0</v>
      </c>
      <c r="P340" s="484">
        <f t="shared" si="53"/>
        <v>0</v>
      </c>
      <c r="Q340" s="484">
        <f t="shared" si="53"/>
        <v>0</v>
      </c>
      <c r="R340" s="484">
        <f t="shared" si="53"/>
        <v>0</v>
      </c>
      <c r="S340" s="484">
        <f t="shared" si="53"/>
        <v>0</v>
      </c>
      <c r="T340" s="484">
        <f t="shared" si="53"/>
        <v>0</v>
      </c>
      <c r="U340" s="484">
        <f t="shared" si="53"/>
        <v>0</v>
      </c>
      <c r="V340" s="484">
        <f t="shared" si="53"/>
        <v>0</v>
      </c>
      <c r="W340" s="484">
        <f t="shared" si="53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4">C171-C339</f>
        <v>-25284423</v>
      </c>
      <c r="D341" s="515">
        <f t="shared" si="54"/>
        <v>105703023.11796007</v>
      </c>
      <c r="E341" s="56">
        <f t="shared" si="54"/>
        <v>0</v>
      </c>
      <c r="F341" s="482">
        <f t="shared" si="54"/>
        <v>-3011032.0599999782</v>
      </c>
      <c r="G341" s="482">
        <f t="shared" si="54"/>
        <v>61849458.215616882</v>
      </c>
      <c r="H341" s="482">
        <f t="shared" si="54"/>
        <v>65160096.818810076</v>
      </c>
      <c r="I341" s="56">
        <f t="shared" si="48"/>
        <v>-3310638.6031931937</v>
      </c>
      <c r="J341" s="56">
        <f t="shared" si="49"/>
        <v>-5.080776065141597E-2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5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29" activePane="bottomRight" state="frozen"/>
      <selection activeCell="O16" sqref="O16"/>
      <selection pane="topRight" activeCell="O16" sqref="O16"/>
      <selection pane="bottomLeft" activeCell="O16" sqref="O16"/>
      <selection pane="bottomRight" activeCell="H41" sqref="H41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"&amp;S71B&amp; " - "&amp;date</f>
        <v>NW385 Ramotshere Moiloa - Table C4 Monthly Budget Statement - Financial Performance (revenue and expenditure)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97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8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/>
      <c r="F6" s="747">
        <f>2347060.58-449011</f>
        <v>1898049.58</v>
      </c>
      <c r="G6" s="747">
        <f>13930485.14+F6</f>
        <v>15828534.720000001</v>
      </c>
      <c r="H6" s="747">
        <f>(D6/12)*7</f>
        <v>21162216.264583308</v>
      </c>
      <c r="I6" s="45">
        <f t="shared" ref="I6:I23" si="0">G6-H6</f>
        <v>-5333681.5445833076</v>
      </c>
      <c r="J6" s="333">
        <f t="shared" ref="J6:J23" si="1">IF(I6=0,"",I6/H6)</f>
        <v>-0.2520379471553581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/>
      <c r="F8" s="747">
        <v>3605062.5300000003</v>
      </c>
      <c r="G8" s="747">
        <f>25224345.01+F8</f>
        <v>28829407.540000003</v>
      </c>
      <c r="H8" s="747">
        <f>(D8/12)*7</f>
        <v>28236152.583333336</v>
      </c>
      <c r="I8" s="45">
        <f t="shared" si="0"/>
        <v>593254.95666666701</v>
      </c>
      <c r="J8" s="333">
        <f t="shared" si="1"/>
        <v>2.1010474246298042E-2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/>
      <c r="F9" s="747">
        <v>838610.39000000374</v>
      </c>
      <c r="G9" s="747">
        <f>4118476.78000003+F9</f>
        <v>4957087.1700000335</v>
      </c>
      <c r="H9" s="747">
        <f>(D9/12)*7</f>
        <v>6607336.166666666</v>
      </c>
      <c r="I9" s="45">
        <f t="shared" si="0"/>
        <v>-1650248.9966666326</v>
      </c>
      <c r="J9" s="333">
        <f t="shared" si="1"/>
        <v>-0.24976010831596093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/>
      <c r="F10" s="747">
        <v>210089.12000000122</v>
      </c>
      <c r="G10" s="747">
        <f>1226461.62+F10</f>
        <v>1436550.7400000014</v>
      </c>
      <c r="H10" s="747">
        <f>(D10/12)*7</f>
        <v>2979821.25</v>
      </c>
      <c r="I10" s="45">
        <f t="shared" si="0"/>
        <v>-1543270.5099999986</v>
      </c>
      <c r="J10" s="333">
        <f t="shared" si="1"/>
        <v>-0.51790707580194573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/>
      <c r="F11" s="747">
        <v>590536.11</v>
      </c>
      <c r="G11" s="747">
        <f>3892941.16000001+F11</f>
        <v>4483477.2700000098</v>
      </c>
      <c r="H11" s="747">
        <f>(D11/12)*7</f>
        <v>5032775.416666666</v>
      </c>
      <c r="I11" s="45">
        <f t="shared" si="0"/>
        <v>-549298.14666665625</v>
      </c>
      <c r="J11" s="333">
        <f t="shared" si="1"/>
        <v>-0.10914418013718367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/>
      <c r="F13" s="747">
        <v>5817.2800000000007</v>
      </c>
      <c r="G13" s="747">
        <f>62915.02+F13</f>
        <v>68732.3</v>
      </c>
      <c r="H13" s="747">
        <f>(D13/12)*7</f>
        <v>103427.59193666669</v>
      </c>
      <c r="I13" s="45">
        <f t="shared" si="0"/>
        <v>-34695.29193666669</v>
      </c>
      <c r="J13" s="333">
        <f t="shared" si="1"/>
        <v>-0.33545489445323406</v>
      </c>
      <c r="K13" s="749"/>
    </row>
    <row r="14" spans="1:11" ht="11.25" customHeight="1" x14ac:dyDescent="0.25">
      <c r="A14" s="87" t="s">
        <v>995</v>
      </c>
      <c r="B14" s="424"/>
      <c r="C14" s="762">
        <f>741056+691673</f>
        <v>1432729</v>
      </c>
      <c r="D14" s="759">
        <v>131771</v>
      </c>
      <c r="E14" s="747"/>
      <c r="F14" s="747">
        <v>15535.720000000001</v>
      </c>
      <c r="G14" s="747">
        <f>71413.15+F14</f>
        <v>86948.87</v>
      </c>
      <c r="H14" s="747">
        <f>(D14/12)*7</f>
        <v>76866.416666666657</v>
      </c>
      <c r="I14" s="45">
        <f t="shared" si="0"/>
        <v>10082.453333333338</v>
      </c>
      <c r="J14" s="333">
        <f t="shared" si="1"/>
        <v>0.13116850987156298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/>
      <c r="F15" s="747">
        <v>8000</v>
      </c>
      <c r="G15" s="747">
        <f>43600+F15</f>
        <v>51600</v>
      </c>
      <c r="H15" s="747">
        <f>(D15/12)*7</f>
        <v>2479166.666666667</v>
      </c>
      <c r="I15" s="45">
        <f t="shared" si="0"/>
        <v>-2427566.666666667</v>
      </c>
      <c r="J15" s="333">
        <f t="shared" si="1"/>
        <v>-0.97918655462184878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/>
      <c r="F17" s="747"/>
      <c r="G17" s="747">
        <v>1635831.2</v>
      </c>
      <c r="H17" s="747">
        <f>(D17/12)*7</f>
        <v>4985412.833333334</v>
      </c>
      <c r="I17" s="45">
        <f t="shared" si="0"/>
        <v>-3349581.6333333338</v>
      </c>
      <c r="J17" s="333">
        <f t="shared" si="1"/>
        <v>-0.6718764815097058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/>
      <c r="F18" s="747">
        <v>276005.7</v>
      </c>
      <c r="G18" s="747">
        <f>1681250.08+F18</f>
        <v>1957255.78</v>
      </c>
      <c r="H18" s="747">
        <f>(D18/12)*7</f>
        <v>1472135.5991066669</v>
      </c>
      <c r="I18" s="45">
        <f t="shared" si="0"/>
        <v>485120.18089333316</v>
      </c>
      <c r="J18" s="333">
        <f t="shared" si="1"/>
        <v>0.32953498386134922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/>
      <c r="F20" s="747">
        <v>5440403</v>
      </c>
      <c r="G20" s="747">
        <f>621678+72479+93394000+537220.39+4866157.89+F20</f>
        <v>104931938.28</v>
      </c>
      <c r="H20" s="747">
        <f>(D20/12)*7</f>
        <v>84601416.666666657</v>
      </c>
      <c r="I20" s="45">
        <f t="shared" si="0"/>
        <v>20330521.613333344</v>
      </c>
      <c r="J20" s="333">
        <f t="shared" si="1"/>
        <v>0.24030947015268672</v>
      </c>
      <c r="K20" s="749"/>
    </row>
    <row r="21" spans="1:11" ht="11.25" customHeight="1" x14ac:dyDescent="0.25">
      <c r="A21" s="87" t="s">
        <v>561</v>
      </c>
      <c r="B21" s="424"/>
      <c r="C21" s="762">
        <f>1515982+2011850+88409</f>
        <v>3616241</v>
      </c>
      <c r="D21" s="759">
        <v>11716017.018604141</v>
      </c>
      <c r="E21" s="747"/>
      <c r="F21" s="747">
        <v>48979.540000015979</v>
      </c>
      <c r="G21" s="747">
        <f>1503090.11000005+F21</f>
        <v>1552069.6500000658</v>
      </c>
      <c r="H21" s="747">
        <f>(D21/12)*7</f>
        <v>6834343.260852416</v>
      </c>
      <c r="I21" s="45">
        <f t="shared" si="0"/>
        <v>-5282273.6108523505</v>
      </c>
      <c r="J21" s="333">
        <f t="shared" si="1"/>
        <v>-0.77290141996665196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2">SUM(C6:C22)</f>
        <v>259573524</v>
      </c>
      <c r="D23" s="526">
        <f t="shared" si="2"/>
        <v>282121835.51396412</v>
      </c>
      <c r="E23" s="527">
        <f t="shared" si="2"/>
        <v>0</v>
      </c>
      <c r="F23" s="527">
        <f t="shared" si="2"/>
        <v>12937088.970000021</v>
      </c>
      <c r="G23" s="527">
        <f t="shared" si="2"/>
        <v>165819433.52000013</v>
      </c>
      <c r="H23" s="948">
        <f t="shared" si="2"/>
        <v>164571070.71647906</v>
      </c>
      <c r="I23" s="527">
        <f t="shared" si="0"/>
        <v>1248362.8035210669</v>
      </c>
      <c r="J23" s="528">
        <f t="shared" si="1"/>
        <v>7.5855543631464266E-3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/>
      <c r="F26" s="747">
        <v>9415371.4600000009</v>
      </c>
      <c r="G26" s="747">
        <f>54845306.14+F26</f>
        <v>64260677.600000001</v>
      </c>
      <c r="H26" s="747">
        <f>(D26/12)*7</f>
        <v>57729221.359179474</v>
      </c>
      <c r="I26" s="45" t="e">
        <f>G26-#REF!</f>
        <v>#REF!</v>
      </c>
      <c r="J26" s="333" t="e">
        <f>IF(I26=0,"",I26/#REF!)</f>
        <v>#REF!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/>
      <c r="F27" s="747">
        <v>751838.76</v>
      </c>
      <c r="G27" s="747">
        <f>3535847.16+F27</f>
        <v>4287685.92</v>
      </c>
      <c r="H27" s="747">
        <v>6887538.6887216261</v>
      </c>
      <c r="I27" s="45" t="e">
        <f>G27-#REF!</f>
        <v>#REF!</v>
      </c>
      <c r="J27" s="333" t="e">
        <f>IF(I27=0,"",I27/#REF!)</f>
        <v>#REF!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/>
      <c r="F28" s="747"/>
      <c r="G28" s="747"/>
      <c r="H28" s="747"/>
      <c r="I28" s="45">
        <f t="shared" ref="I28:I37" si="3">G28-H28</f>
        <v>0</v>
      </c>
      <c r="J28" s="333" t="str">
        <f t="shared" ref="J28:J42" si="4">IF(I28=0,"",I28/H28)</f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/>
      <c r="F30" s="747">
        <v>110464.12</v>
      </c>
      <c r="G30" s="747">
        <f>448239.54+F30</f>
        <v>558703.65999999992</v>
      </c>
      <c r="H30" s="747">
        <f t="shared" ref="H30:H35" si="5">(D30/12)*7</f>
        <v>749574.4056500002</v>
      </c>
      <c r="I30" s="45">
        <f>G30-H26</f>
        <v>-57170517.699179478</v>
      </c>
      <c r="J30" s="333">
        <f>IF(I30=0,"",I30/H26)</f>
        <v>-0.99032199557094569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/>
      <c r="F31" s="747">
        <v>2847745.36</v>
      </c>
      <c r="G31" s="747">
        <f>22143632.17+F31</f>
        <v>24991377.530000001</v>
      </c>
      <c r="H31" s="747">
        <f t="shared" si="5"/>
        <v>20071042.399475254</v>
      </c>
      <c r="I31" s="45">
        <f t="shared" si="3"/>
        <v>4920335.1305247471</v>
      </c>
      <c r="J31" s="333">
        <f t="shared" si="4"/>
        <v>0.24514596863456312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/>
      <c r="F32" s="747">
        <v>150318.91000000003</v>
      </c>
      <c r="G32" s="747">
        <f>3468968.74200424+F32</f>
        <v>3619287.6520042401</v>
      </c>
      <c r="H32" s="747">
        <f t="shared" si="5"/>
        <v>7266411.559685084</v>
      </c>
      <c r="I32" s="45">
        <f t="shared" si="3"/>
        <v>-3647123.907680844</v>
      </c>
      <c r="J32" s="333">
        <f t="shared" si="4"/>
        <v>-0.50191540593647643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/>
      <c r="F33" s="747">
        <v>834007.4800000001</v>
      </c>
      <c r="G33" s="747">
        <f>6218682.94+F33</f>
        <v>7052690.4200000009</v>
      </c>
      <c r="H33" s="747">
        <f t="shared" si="5"/>
        <v>8232681.2966533341</v>
      </c>
      <c r="I33" s="45">
        <f t="shared" si="3"/>
        <v>-1179990.8766533332</v>
      </c>
      <c r="J33" s="333">
        <f t="shared" si="4"/>
        <v>-0.14333008094616892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/>
      <c r="F34" s="747">
        <v>252950</v>
      </c>
      <c r="G34" s="747">
        <f>1839010+F34</f>
        <v>2091960</v>
      </c>
      <c r="H34" s="747">
        <f t="shared" si="5"/>
        <v>5548083.333333334</v>
      </c>
      <c r="I34" s="45">
        <f t="shared" si="3"/>
        <v>-3456123.333333334</v>
      </c>
      <c r="J34" s="333">
        <f t="shared" si="4"/>
        <v>-0.62294005437313194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/>
      <c r="F35" s="747">
        <v>1585424.98</v>
      </c>
      <c r="G35" s="747">
        <f>23839000+F35</f>
        <v>25424424.98</v>
      </c>
      <c r="H35" s="747">
        <f t="shared" si="5"/>
        <v>39643837.519887604</v>
      </c>
      <c r="I35" s="45">
        <f t="shared" si="3"/>
        <v>-14219412.539887603</v>
      </c>
      <c r="J35" s="333">
        <f t="shared" si="4"/>
        <v>-0.35867901367405053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6">SUM(C26:C36)</f>
        <v>284874947</v>
      </c>
      <c r="D37" s="75">
        <f>SUM(D26:D36)</f>
        <v>256505812.39300406</v>
      </c>
      <c r="E37" s="74">
        <f>SUM(E26:E36)</f>
        <v>0</v>
      </c>
      <c r="F37" s="74">
        <f t="shared" si="6"/>
        <v>15948121.07</v>
      </c>
      <c r="G37" s="74">
        <f t="shared" si="6"/>
        <v>132286807.76200424</v>
      </c>
      <c r="H37" s="74">
        <f>SUM(H26:H36)</f>
        <v>146128390.56258571</v>
      </c>
      <c r="I37" s="74">
        <f t="shared" si="3"/>
        <v>-13841582.80058147</v>
      </c>
      <c r="J37" s="334">
        <f t="shared" si="4"/>
        <v>-9.4722064256591007E-2</v>
      </c>
      <c r="K37" s="146">
        <f t="shared" si="6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7">C23-C37</f>
        <v>-25301423</v>
      </c>
      <c r="D39" s="52">
        <f t="shared" si="7"/>
        <v>25616023.120960057</v>
      </c>
      <c r="E39" s="51">
        <f t="shared" si="7"/>
        <v>0</v>
      </c>
      <c r="F39" s="51">
        <f t="shared" si="7"/>
        <v>-3011032.0999999791</v>
      </c>
      <c r="G39" s="51">
        <f t="shared" si="7"/>
        <v>33532625.757995889</v>
      </c>
      <c r="H39" s="51">
        <f t="shared" si="7"/>
        <v>18442680.153893352</v>
      </c>
      <c r="I39" s="103">
        <f>I23-I37</f>
        <v>15089945.604102537</v>
      </c>
      <c r="J39" s="103">
        <f t="shared" si="4"/>
        <v>0.81820784604980346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/>
      <c r="F40" s="747"/>
      <c r="G40" s="747">
        <v>28316207</v>
      </c>
      <c r="H40" s="747">
        <v>46717417</v>
      </c>
      <c r="I40" s="48">
        <f>G40-H40</f>
        <v>-18401210</v>
      </c>
      <c r="J40" s="103">
        <f t="shared" si="4"/>
        <v>-0.39388329196368027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4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4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8">C39+SUM(C40:C42)</f>
        <v>-25301423</v>
      </c>
      <c r="D43" s="254">
        <f t="shared" si="8"/>
        <v>105703023.12096006</v>
      </c>
      <c r="E43" s="255">
        <f t="shared" si="8"/>
        <v>0</v>
      </c>
      <c r="F43" s="255">
        <f t="shared" si="8"/>
        <v>-3011032.0999999791</v>
      </c>
      <c r="G43" s="255">
        <f t="shared" si="8"/>
        <v>61848832.757995889</v>
      </c>
      <c r="H43" s="255">
        <f t="shared" si="8"/>
        <v>65160097.153893352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9">C43-C44</f>
        <v>-25301423</v>
      </c>
      <c r="D45" s="52">
        <f t="shared" si="9"/>
        <v>105703023.12096006</v>
      </c>
      <c r="E45" s="51">
        <f t="shared" si="9"/>
        <v>0</v>
      </c>
      <c r="F45" s="51">
        <f t="shared" si="9"/>
        <v>-3011032.0999999791</v>
      </c>
      <c r="G45" s="51">
        <f t="shared" si="9"/>
        <v>61848832.757995889</v>
      </c>
      <c r="H45" s="51">
        <f t="shared" si="9"/>
        <v>65160097.153893352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0">SUM(C45:C46)</f>
        <v>-25301423</v>
      </c>
      <c r="D47" s="533">
        <f t="shared" si="10"/>
        <v>105703023.12096006</v>
      </c>
      <c r="E47" s="531">
        <f t="shared" si="10"/>
        <v>0</v>
      </c>
      <c r="F47" s="531">
        <f t="shared" si="10"/>
        <v>-3011032.0999999791</v>
      </c>
      <c r="G47" s="531">
        <f t="shared" si="10"/>
        <v>61848832.757995889</v>
      </c>
      <c r="H47" s="531">
        <f t="shared" si="10"/>
        <v>65160097.153893352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1">C47+C48</f>
        <v>-25301423</v>
      </c>
      <c r="D49" s="78">
        <f t="shared" si="11"/>
        <v>105703023.12096006</v>
      </c>
      <c r="E49" s="77">
        <f t="shared" si="11"/>
        <v>0</v>
      </c>
      <c r="F49" s="77">
        <f t="shared" si="11"/>
        <v>-3011032.0999999791</v>
      </c>
      <c r="G49" s="77">
        <f t="shared" si="11"/>
        <v>61848832.757995889</v>
      </c>
      <c r="H49" s="77">
        <f t="shared" si="11"/>
        <v>65160097.153893352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2">C23+SUM(C40:C42)</f>
        <v>259573524</v>
      </c>
      <c r="D54" s="63">
        <f t="shared" si="12"/>
        <v>362208835.51396412</v>
      </c>
      <c r="E54" s="63">
        <f t="shared" si="12"/>
        <v>0</v>
      </c>
      <c r="F54" s="63">
        <f t="shared" si="12"/>
        <v>12937088.970000021</v>
      </c>
      <c r="G54" s="63">
        <f t="shared" si="12"/>
        <v>194135640.52000013</v>
      </c>
      <c r="H54" s="63">
        <f t="shared" si="12"/>
        <v>211288487.71647906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5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65" activePane="bottomRight" state="frozen"/>
      <selection activeCell="O16" sqref="O16"/>
      <selection pane="topRight" activeCell="O16" sqref="O16"/>
      <selection pane="bottomLeft" activeCell="O16" sqref="O16"/>
      <selection pane="bottomRight" activeCell="H71" sqref="H71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90" t="str">
        <f>muni&amp; " - "&amp;S71D&amp; " - "&amp;date</f>
        <v>NW385 Ramotshere Moiloa - Table C5 Monthly Budget Statement - Capital Expenditure (municipal vote, standard classification and funding) - M07 January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x14ac:dyDescent="0.25">
      <c r="A2" s="988" t="str">
        <f>Vdesc</f>
        <v>Vote Description</v>
      </c>
      <c r="B2" s="997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98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0</v>
      </c>
      <c r="D25" s="259">
        <f>'C5C'!D187</f>
        <v>2150000</v>
      </c>
      <c r="E25" s="45">
        <f>'C5C'!E187</f>
        <v>0</v>
      </c>
      <c r="F25" s="45">
        <f>'C5C'!F187</f>
        <v>0</v>
      </c>
      <c r="G25" s="45">
        <f>'C5C'!G187</f>
        <v>105455</v>
      </c>
      <c r="H25" s="45">
        <f>'C5C'!H187</f>
        <v>1254166.6666666667</v>
      </c>
      <c r="I25" s="45">
        <f>'C5C'!I187</f>
        <v>-1148711.6666666667</v>
      </c>
      <c r="J25" s="333">
        <f t="shared" ref="J25:J39" si="3">IF(I25=0,"",I25/H25)</f>
        <v>-0.91591627906976747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386815</v>
      </c>
      <c r="H26" s="45">
        <f>'C5C'!H198</f>
        <v>0</v>
      </c>
      <c r="I26" s="45">
        <f>'C5C'!I198</f>
        <v>386815</v>
      </c>
      <c r="J26" s="333" t="e">
        <f t="shared" si="3"/>
        <v>#DIV/0!</v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0</v>
      </c>
      <c r="D27" s="259">
        <f>'C5C'!D209</f>
        <v>96595000</v>
      </c>
      <c r="E27" s="45">
        <f>'C5C'!E209</f>
        <v>0</v>
      </c>
      <c r="F27" s="45">
        <f>'C5C'!F209</f>
        <v>4856964</v>
      </c>
      <c r="G27" s="45">
        <f>'C5C'!G209</f>
        <v>32235217</v>
      </c>
      <c r="H27" s="45">
        <f>'C5C'!H209</f>
        <v>56347083.333333328</v>
      </c>
      <c r="I27" s="45">
        <f>'C5C'!I209</f>
        <v>-24111866.333333328</v>
      </c>
      <c r="J27" s="333">
        <f t="shared" si="3"/>
        <v>-0.42791684869817276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0</v>
      </c>
      <c r="D28" s="259">
        <f>'C5C'!D220</f>
        <v>6958023.12096</v>
      </c>
      <c r="E28" s="45">
        <f>'C5C'!E220</f>
        <v>0</v>
      </c>
      <c r="F28" s="45">
        <f>'C5C'!F220</f>
        <v>1087</v>
      </c>
      <c r="G28" s="45">
        <f>'C5C'!G220</f>
        <v>7276257</v>
      </c>
      <c r="H28" s="45">
        <f>'C5C'!H220</f>
        <v>4058846.8205599999</v>
      </c>
      <c r="I28" s="45">
        <f>'C5C'!I220</f>
        <v>3217410.1794400001</v>
      </c>
      <c r="J28" s="333">
        <f t="shared" si="3"/>
        <v>0.79269071282569203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105703023.12096</v>
      </c>
      <c r="E39" s="162">
        <f t="shared" si="4"/>
        <v>0</v>
      </c>
      <c r="F39" s="162">
        <f t="shared" si="4"/>
        <v>4858051</v>
      </c>
      <c r="G39" s="162">
        <f t="shared" si="4"/>
        <v>40003744</v>
      </c>
      <c r="H39" s="162">
        <f t="shared" si="4"/>
        <v>61660096.820559993</v>
      </c>
      <c r="I39" s="74">
        <f t="shared" si="4"/>
        <v>-21656352.820559997</v>
      </c>
      <c r="J39" s="334">
        <f t="shared" si="3"/>
        <v>-0.35122151824677128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105703023.12096</v>
      </c>
      <c r="E40" s="74">
        <f t="shared" si="5"/>
        <v>0</v>
      </c>
      <c r="F40" s="74">
        <f t="shared" si="5"/>
        <v>4858051</v>
      </c>
      <c r="G40" s="74">
        <f t="shared" si="5"/>
        <v>40003744</v>
      </c>
      <c r="H40" s="74">
        <f t="shared" si="5"/>
        <v>61660096.820559993</v>
      </c>
      <c r="I40" s="74">
        <f t="shared" si="5"/>
        <v>-21656352.820559997</v>
      </c>
      <c r="J40" s="334">
        <f>IF(I40=0,"",I40/H40)</f>
        <v>-0.35122151824677128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2150000</v>
      </c>
      <c r="E43" s="647">
        <f t="shared" si="6"/>
        <v>0</v>
      </c>
      <c r="F43" s="647">
        <f t="shared" si="6"/>
        <v>0</v>
      </c>
      <c r="G43" s="647">
        <f t="shared" si="6"/>
        <v>296359</v>
      </c>
      <c r="H43" s="647">
        <f t="shared" si="6"/>
        <v>1254166.6666666665</v>
      </c>
      <c r="I43" s="45">
        <f t="shared" ref="I43:I62" si="7">G43-H43</f>
        <v>-957807.66666666651</v>
      </c>
      <c r="J43" s="333">
        <f>IF(I43=0,"",I43/H43)</f>
        <v>-0.76370046511627909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 t="shared" ref="H45:H62" si="9"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/>
      <c r="D46" s="767">
        <v>2150000</v>
      </c>
      <c r="E46" s="747"/>
      <c r="F46" s="747"/>
      <c r="G46" s="747">
        <v>296359</v>
      </c>
      <c r="H46" s="947">
        <f>D46/12*7</f>
        <v>1254166.6666666665</v>
      </c>
      <c r="I46" s="45">
        <f t="shared" si="7"/>
        <v>-957807.66666666651</v>
      </c>
      <c r="J46" s="333">
        <f t="shared" si="8"/>
        <v>-0.76370046511627909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3873227.3529599998</v>
      </c>
      <c r="E47" s="647">
        <f t="shared" si="10"/>
        <v>0</v>
      </c>
      <c r="F47" s="647">
        <f t="shared" si="10"/>
        <v>1087</v>
      </c>
      <c r="G47" s="647">
        <f t="shared" si="10"/>
        <v>7472168</v>
      </c>
      <c r="H47" s="647">
        <f t="shared" si="10"/>
        <v>2259382.62256</v>
      </c>
      <c r="I47" s="45">
        <f t="shared" si="7"/>
        <v>5212785.37744</v>
      </c>
      <c r="J47" s="333">
        <f t="shared" si="8"/>
        <v>2.3071724662260342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 t="shared" si="9"/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/>
      <c r="D49" s="767">
        <v>2410327.3529599998</v>
      </c>
      <c r="E49" s="747"/>
      <c r="F49" s="747">
        <v>1087</v>
      </c>
      <c r="G49" s="747">
        <f>202711+3634185+F49</f>
        <v>3837983</v>
      </c>
      <c r="H49" s="747">
        <f t="shared" ref="H49:H50" si="11">D49/12*7</f>
        <v>1406024.2892266666</v>
      </c>
      <c r="I49" s="45">
        <f t="shared" si="7"/>
        <v>2431958.7107733334</v>
      </c>
      <c r="J49" s="333">
        <f t="shared" si="8"/>
        <v>1.7296704825141715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/>
      <c r="D50" s="767">
        <v>1462900</v>
      </c>
      <c r="E50" s="747"/>
      <c r="F50" s="747"/>
      <c r="G50" s="747">
        <f>3634185</f>
        <v>3634185</v>
      </c>
      <c r="H50" s="747">
        <f t="shared" si="11"/>
        <v>853358.33333333326</v>
      </c>
      <c r="I50" s="45">
        <f t="shared" si="7"/>
        <v>2780826.666666667</v>
      </c>
      <c r="J50" s="333">
        <f t="shared" si="8"/>
        <v>3.2586857806900196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9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 t="shared" si="9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2">SUM(C54:C56)</f>
        <v>0</v>
      </c>
      <c r="D53" s="679">
        <f t="shared" si="12"/>
        <v>79545000</v>
      </c>
      <c r="E53" s="647">
        <f t="shared" si="12"/>
        <v>0</v>
      </c>
      <c r="F53" s="647">
        <f t="shared" si="12"/>
        <v>4856964</v>
      </c>
      <c r="G53" s="647">
        <f t="shared" si="12"/>
        <v>20005803</v>
      </c>
      <c r="H53" s="647">
        <f t="shared" si="12"/>
        <v>46401250</v>
      </c>
      <c r="I53" s="45">
        <f t="shared" si="7"/>
        <v>-26395447</v>
      </c>
      <c r="J53" s="333">
        <f t="shared" si="8"/>
        <v>-0.56885206756283502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 t="shared" si="9"/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/>
      <c r="D55" s="767">
        <v>79545000</v>
      </c>
      <c r="E55" s="747"/>
      <c r="F55" s="747">
        <v>4856964</v>
      </c>
      <c r="G55" s="747">
        <f>15148839+F55</f>
        <v>20005803</v>
      </c>
      <c r="H55" s="747">
        <f t="shared" ref="H55" si="13">D55/12*7</f>
        <v>46401250</v>
      </c>
      <c r="I55" s="45">
        <f t="shared" si="7"/>
        <v>-26395447</v>
      </c>
      <c r="J55" s="333">
        <f t="shared" si="8"/>
        <v>-0.56885206756283502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si="9"/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4">SUM(C58:C61)</f>
        <v>0</v>
      </c>
      <c r="D57" s="679">
        <f t="shared" si="14"/>
        <v>20134795.767999999</v>
      </c>
      <c r="E57" s="647">
        <f t="shared" si="14"/>
        <v>0</v>
      </c>
      <c r="F57" s="647">
        <f t="shared" si="14"/>
        <v>0</v>
      </c>
      <c r="G57" s="647">
        <f t="shared" si="14"/>
        <v>12229414</v>
      </c>
      <c r="H57" s="647">
        <f t="shared" si="14"/>
        <v>11745297.531333331</v>
      </c>
      <c r="I57" s="45">
        <f t="shared" si="7"/>
        <v>484116.46866666898</v>
      </c>
      <c r="J57" s="333">
        <f t="shared" si="8"/>
        <v>4.1217897407466689E-2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/>
      <c r="F58" s="747"/>
      <c r="G58" s="747">
        <v>8595229</v>
      </c>
      <c r="H58" s="747">
        <f t="shared" ref="H58:H61" si="15">D58/12*7</f>
        <v>9333333.3333333321</v>
      </c>
      <c r="I58" s="45">
        <f t="shared" si="7"/>
        <v>-738104.33333333209</v>
      </c>
      <c r="J58" s="333">
        <f t="shared" si="8"/>
        <v>-7.9082607142857017E-2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/>
      <c r="F59" s="747"/>
      <c r="G59" s="747">
        <f>3634185</f>
        <v>3634185</v>
      </c>
      <c r="H59" s="747">
        <f t="shared" si="15"/>
        <v>2041666.6666666667</v>
      </c>
      <c r="I59" s="45">
        <f t="shared" si="7"/>
        <v>1592518.3333333333</v>
      </c>
      <c r="J59" s="333">
        <f t="shared" si="8"/>
        <v>0.78000897959183668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/>
      <c r="F60" s="770"/>
      <c r="G60" s="770"/>
      <c r="H60" s="747">
        <f t="shared" si="15"/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/>
      <c r="D61" s="767">
        <v>634795.76800000004</v>
      </c>
      <c r="E61" s="747"/>
      <c r="F61" s="747"/>
      <c r="G61" s="747"/>
      <c r="H61" s="747">
        <f t="shared" si="15"/>
        <v>370297.53133333335</v>
      </c>
      <c r="I61" s="45">
        <f t="shared" si="7"/>
        <v>-370297.53133333335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 t="shared" si="9"/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6">D43+D47+D53+D57+D62</f>
        <v>105703023.12096</v>
      </c>
      <c r="E63" s="481">
        <f t="shared" si="16"/>
        <v>0</v>
      </c>
      <c r="F63" s="481">
        <f t="shared" si="16"/>
        <v>4858051</v>
      </c>
      <c r="G63" s="481">
        <f t="shared" si="16"/>
        <v>40003744</v>
      </c>
      <c r="H63" s="481">
        <f t="shared" si="16"/>
        <v>61660096.820559993</v>
      </c>
      <c r="I63" s="481">
        <f t="shared" si="16"/>
        <v>-21656352.820559997</v>
      </c>
      <c r="J63" s="546">
        <f t="shared" si="8"/>
        <v>-0.35122151824677128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/>
      <c r="D66" s="767">
        <v>80087000</v>
      </c>
      <c r="E66" s="747"/>
      <c r="F66" s="747">
        <v>4856964</v>
      </c>
      <c r="G66" s="747">
        <v>23744068</v>
      </c>
      <c r="H66" s="747">
        <f t="shared" ref="H66" si="17">D66/12*7</f>
        <v>46717416.666666672</v>
      </c>
      <c r="I66" s="45">
        <f t="shared" ref="I66:I74" si="18">G66-H66</f>
        <v>-22973348.666666672</v>
      </c>
      <c r="J66" s="333">
        <f t="shared" ref="J66:J74" si="19">IF(I66=0,"",I66/H66)</f>
        <v>-0.49175126335824082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8"/>
        <v>0</v>
      </c>
      <c r="J67" s="333" t="str">
        <f t="shared" si="19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8"/>
        <v>0</v>
      </c>
      <c r="J68" s="333" t="str">
        <f t="shared" si="19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8"/>
        <v>0</v>
      </c>
      <c r="J69" s="338" t="str">
        <f t="shared" si="19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20">SUM(C66:C69)</f>
        <v>0</v>
      </c>
      <c r="D70" s="260">
        <f t="shared" si="20"/>
        <v>80087000</v>
      </c>
      <c r="E70" s="51">
        <f t="shared" si="20"/>
        <v>0</v>
      </c>
      <c r="F70" s="51">
        <f t="shared" si="20"/>
        <v>4856964</v>
      </c>
      <c r="G70" s="51">
        <f t="shared" si="20"/>
        <v>23744068</v>
      </c>
      <c r="H70" s="51">
        <f t="shared" si="20"/>
        <v>46717416.666666672</v>
      </c>
      <c r="I70" s="51">
        <f t="shared" si="18"/>
        <v>-22973348.666666672</v>
      </c>
      <c r="J70" s="147">
        <f t="shared" si="19"/>
        <v>-0.49175126335824082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8"/>
        <v>0</v>
      </c>
      <c r="J71" s="333" t="str">
        <f t="shared" si="19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8"/>
        <v>0</v>
      </c>
      <c r="J72" s="333" t="str">
        <f t="shared" si="19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/>
      <c r="F73" s="765">
        <v>1087</v>
      </c>
      <c r="G73" s="765">
        <f>G63-G66</f>
        <v>16259676</v>
      </c>
      <c r="H73" s="747">
        <f t="shared" ref="H73" si="21">D73/12*7</f>
        <v>14942680.153893331</v>
      </c>
      <c r="I73" s="100">
        <f t="shared" si="18"/>
        <v>1316995.8461066689</v>
      </c>
      <c r="J73" s="338">
        <f t="shared" si="19"/>
        <v>8.8136521195866208E-2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22">SUM(C70:C73)</f>
        <v>0</v>
      </c>
      <c r="D74" s="266">
        <f t="shared" si="22"/>
        <v>105703023.12096</v>
      </c>
      <c r="E74" s="77">
        <f t="shared" si="22"/>
        <v>0</v>
      </c>
      <c r="F74" s="77">
        <f>SUM(F70:F73)</f>
        <v>4858051</v>
      </c>
      <c r="G74" s="77">
        <f>SUM(G70:G73)</f>
        <v>40003744</v>
      </c>
      <c r="H74" s="77">
        <f>SUM(H70:H73)</f>
        <v>61660096.820560001</v>
      </c>
      <c r="I74" s="77">
        <f t="shared" si="18"/>
        <v>-21656352.820560001</v>
      </c>
      <c r="J74" s="336">
        <f t="shared" si="19"/>
        <v>-0.35122151824677134</v>
      </c>
      <c r="K74" s="235">
        <f t="shared" si="22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1000" t="s">
        <v>176</v>
      </c>
      <c r="B77" s="1000"/>
      <c r="C77" s="1000"/>
      <c r="D77" s="1000"/>
      <c r="E77" s="1000"/>
      <c r="F77" s="1000"/>
      <c r="G77" s="1000"/>
      <c r="H77" s="1000"/>
      <c r="I77" s="1000"/>
      <c r="J77" s="1000"/>
      <c r="K77" s="1000"/>
    </row>
    <row r="78" spans="1:12" ht="12" customHeight="1" x14ac:dyDescent="0.25">
      <c r="A78" s="1000" t="s">
        <v>653</v>
      </c>
      <c r="B78" s="1000"/>
      <c r="C78" s="1000"/>
      <c r="D78" s="1000"/>
      <c r="E78" s="1000"/>
      <c r="F78" s="1000"/>
      <c r="G78" s="1000"/>
      <c r="H78" s="1000"/>
      <c r="I78" s="1000"/>
      <c r="J78" s="1000"/>
      <c r="K78" s="1000"/>
    </row>
    <row r="79" spans="1:12" ht="12" customHeight="1" x14ac:dyDescent="0.25">
      <c r="A79" s="1001" t="s">
        <v>654</v>
      </c>
      <c r="B79" s="1000"/>
      <c r="C79" s="1000"/>
      <c r="D79" s="1000"/>
      <c r="E79" s="1000"/>
      <c r="F79" s="1000"/>
      <c r="G79" s="1000"/>
      <c r="H79" s="1000"/>
      <c r="I79" s="1000"/>
      <c r="J79" s="1000"/>
      <c r="K79" s="1000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23">D40-D74</f>
        <v>0</v>
      </c>
      <c r="E86" s="703">
        <f t="shared" si="23"/>
        <v>0</v>
      </c>
      <c r="F86" s="703">
        <f t="shared" si="23"/>
        <v>0</v>
      </c>
      <c r="G86" s="703">
        <f t="shared" si="23"/>
        <v>0</v>
      </c>
      <c r="H86" s="703">
        <f t="shared" si="23"/>
        <v>0</v>
      </c>
      <c r="I86" s="703"/>
      <c r="J86" s="703"/>
      <c r="K86" s="703">
        <f t="shared" si="23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329" activePane="bottomRight" state="frozen"/>
      <selection activeCell="O16" sqref="O16"/>
      <selection pane="topRight" activeCell="O16" sqref="O16"/>
      <selection pane="bottomLeft" activeCell="O16" sqref="O16"/>
      <selection pane="bottomRight" activeCell="H222" sqref="H222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90" t="str">
        <f>muni&amp; " - "&amp;S71D&amp; " - "&amp;"A"&amp; " - "&amp;date</f>
        <v>NW385 Ramotshere Moiloa - Table C5 Monthly Budget Statement - Capital Expenditure (municipal vote, standard classification and funding) - A - M07 January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  <c r="L2" s="994" t="e">
        <f>Head4</f>
        <v>#REF!</v>
      </c>
      <c r="M2" s="995"/>
      <c r="N2" s="995"/>
      <c r="O2" s="995"/>
      <c r="P2" s="995"/>
      <c r="Q2" s="995"/>
      <c r="R2" s="995"/>
      <c r="S2" s="995"/>
      <c r="T2" s="995"/>
      <c r="U2" s="995"/>
      <c r="V2" s="995"/>
      <c r="W2" s="996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0</v>
      </c>
      <c r="D187" s="447">
        <f>SUM(D188:D197)</f>
        <v>2150000</v>
      </c>
      <c r="E187" s="444">
        <f t="shared" ref="E187:K187" si="24">SUM(E188:E197)</f>
        <v>0</v>
      </c>
      <c r="F187" s="446">
        <f t="shared" si="24"/>
        <v>0</v>
      </c>
      <c r="G187" s="444">
        <f t="shared" si="24"/>
        <v>105455</v>
      </c>
      <c r="H187" s="446">
        <f t="shared" si="24"/>
        <v>1254166.6666666667</v>
      </c>
      <c r="I187" s="45">
        <f t="shared" si="16"/>
        <v>-1148711.6666666667</v>
      </c>
      <c r="J187" s="333">
        <f t="shared" si="17"/>
        <v>-0.91591627906976747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/>
      <c r="D189" s="759">
        <f>500000+50000</f>
        <v>550000</v>
      </c>
      <c r="E189" s="747"/>
      <c r="F189" s="760"/>
      <c r="G189" s="747">
        <v>105455</v>
      </c>
      <c r="H189" s="949">
        <f>D189/12*7</f>
        <v>320833.33333333337</v>
      </c>
      <c r="I189" s="45">
        <f t="shared" si="16"/>
        <v>-215378.33333333337</v>
      </c>
      <c r="J189" s="333">
        <f t="shared" si="17"/>
        <v>-0.67130909090909097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/>
      <c r="F190" s="760"/>
      <c r="G190" s="747"/>
      <c r="H190" s="760">
        <f t="shared" ref="H190:H197" si="25">D190/12*7</f>
        <v>291666.66666666663</v>
      </c>
      <c r="I190" s="45">
        <f t="shared" si="16"/>
        <v>-291666.66666666663</v>
      </c>
      <c r="J190" s="333">
        <f t="shared" si="17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f>1600000-500000</f>
        <v>1100000</v>
      </c>
      <c r="E191" s="747"/>
      <c r="F191" s="760"/>
      <c r="G191" s="747"/>
      <c r="H191" s="760">
        <f t="shared" si="25"/>
        <v>641666.66666666674</v>
      </c>
      <c r="I191" s="45">
        <f t="shared" si="16"/>
        <v>-641666.66666666674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f t="shared" si="25"/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si="25"/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5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5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5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5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6">SUM(C199:C208)</f>
        <v>0</v>
      </c>
      <c r="D198" s="447">
        <f t="shared" si="26"/>
        <v>0</v>
      </c>
      <c r="E198" s="444">
        <f t="shared" si="26"/>
        <v>0</v>
      </c>
      <c r="F198" s="446">
        <f t="shared" si="26"/>
        <v>0</v>
      </c>
      <c r="G198" s="444">
        <f t="shared" si="26"/>
        <v>386815</v>
      </c>
      <c r="H198" s="446">
        <f t="shared" si="26"/>
        <v>0</v>
      </c>
      <c r="I198" s="45">
        <f t="shared" si="16"/>
        <v>386815</v>
      </c>
      <c r="J198" s="333" t="e">
        <f t="shared" si="17"/>
        <v>#DIV/0!</v>
      </c>
      <c r="K198" s="445">
        <f t="shared" si="26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>
        <v>386815</v>
      </c>
      <c r="H199" s="760">
        <f t="shared" ref="H199" si="27">D199/2</f>
        <v>0</v>
      </c>
      <c r="I199" s="45">
        <f t="shared" si="16"/>
        <v>386815</v>
      </c>
      <c r="J199" s="333" t="e">
        <f t="shared" si="17"/>
        <v>#DIV/0!</v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8">G200-H200</f>
        <v>0</v>
      </c>
      <c r="J200" s="333" t="str">
        <f t="shared" ref="J200:J263" si="29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8"/>
        <v>0</v>
      </c>
      <c r="J201" s="333" t="str">
        <f t="shared" si="29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8"/>
        <v>0</v>
      </c>
      <c r="J207" s="333" t="str">
        <f t="shared" si="29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30">SUM(C210:C219)</f>
        <v>0</v>
      </c>
      <c r="D209" s="447">
        <f t="shared" si="30"/>
        <v>96595000</v>
      </c>
      <c r="E209" s="444">
        <f t="shared" si="30"/>
        <v>0</v>
      </c>
      <c r="F209" s="446">
        <f t="shared" si="30"/>
        <v>4856964</v>
      </c>
      <c r="G209" s="444">
        <f t="shared" si="30"/>
        <v>32235217</v>
      </c>
      <c r="H209" s="446">
        <f t="shared" si="30"/>
        <v>56347083.333333328</v>
      </c>
      <c r="I209" s="45">
        <f t="shared" si="28"/>
        <v>-24111866.333333328</v>
      </c>
      <c r="J209" s="333">
        <f t="shared" si="29"/>
        <v>-0.42791684869817276</v>
      </c>
      <c r="K209" s="445">
        <f t="shared" si="30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/>
      <c r="F210" s="475"/>
      <c r="G210" s="387">
        <v>8595229</v>
      </c>
      <c r="H210" s="475">
        <f t="shared" ref="H210:H227" si="31">D210/12*7</f>
        <v>9333333.3333333321</v>
      </c>
      <c r="I210" s="45">
        <f t="shared" si="28"/>
        <v>-738104.33333333209</v>
      </c>
      <c r="J210" s="333">
        <f t="shared" si="29"/>
        <v>-7.9082607142857017E-2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/>
      <c r="F211" s="475"/>
      <c r="G211" s="387"/>
      <c r="H211" s="475">
        <f t="shared" si="31"/>
        <v>0</v>
      </c>
      <c r="I211" s="45">
        <f t="shared" si="28"/>
        <v>0</v>
      </c>
      <c r="J211" s="333" t="str">
        <f t="shared" si="29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/>
      <c r="F212" s="475">
        <v>4856964</v>
      </c>
      <c r="G212" s="387">
        <f>F212</f>
        <v>4856964</v>
      </c>
      <c r="H212" s="475">
        <f t="shared" si="31"/>
        <v>17940416.666666664</v>
      </c>
      <c r="I212" s="45">
        <f t="shared" si="28"/>
        <v>-13083452.666666664</v>
      </c>
      <c r="J212" s="333">
        <f t="shared" si="29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/>
      <c r="D213" s="386">
        <v>37690000</v>
      </c>
      <c r="E213" s="387"/>
      <c r="F213" s="475"/>
      <c r="G213" s="387">
        <f>25990994-10842155</f>
        <v>15148839</v>
      </c>
      <c r="H213" s="475">
        <f t="shared" si="31"/>
        <v>21985833.333333336</v>
      </c>
      <c r="I213" s="45">
        <f t="shared" si="28"/>
        <v>-6836994.3333333358</v>
      </c>
      <c r="J213" s="333">
        <f t="shared" si="29"/>
        <v>-0.31097271728006681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/>
      <c r="F214" s="475"/>
      <c r="G214" s="387"/>
      <c r="H214" s="475">
        <f t="shared" si="31"/>
        <v>962500</v>
      </c>
      <c r="I214" s="45">
        <f t="shared" si="28"/>
        <v>-962500</v>
      </c>
      <c r="J214" s="333">
        <f t="shared" si="29"/>
        <v>-1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/>
      <c r="F215" s="475"/>
      <c r="G215" s="387"/>
      <c r="H215" s="475">
        <f t="shared" si="31"/>
        <v>4083333.3333333335</v>
      </c>
      <c r="I215" s="45">
        <f t="shared" si="28"/>
        <v>-4083333.3333333335</v>
      </c>
      <c r="J215" s="333">
        <f t="shared" si="29"/>
        <v>-1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/>
      <c r="F216" s="475"/>
      <c r="G216" s="387">
        <v>3634185</v>
      </c>
      <c r="H216" s="475">
        <f t="shared" si="31"/>
        <v>2041666.6666666667</v>
      </c>
      <c r="I216" s="45">
        <f t="shared" si="28"/>
        <v>1592518.3333333333</v>
      </c>
      <c r="J216" s="333">
        <f t="shared" si="29"/>
        <v>0.78000897959183668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 t="shared" si="31"/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 t="shared" si="31"/>
        <v>0</v>
      </c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 t="shared" si="31"/>
        <v>0</v>
      </c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2">SUM(C221:C230)</f>
        <v>0</v>
      </c>
      <c r="D220" s="447">
        <f t="shared" si="32"/>
        <v>6958023.12096</v>
      </c>
      <c r="E220" s="444">
        <f t="shared" si="32"/>
        <v>0</v>
      </c>
      <c r="F220" s="446">
        <f t="shared" si="32"/>
        <v>1087</v>
      </c>
      <c r="G220" s="444">
        <f t="shared" si="32"/>
        <v>7276257</v>
      </c>
      <c r="H220" s="446">
        <f t="shared" si="32"/>
        <v>4058846.8205599999</v>
      </c>
      <c r="I220" s="45">
        <f t="shared" si="28"/>
        <v>3217410.1794400001</v>
      </c>
      <c r="J220" s="333">
        <f t="shared" si="29"/>
        <v>0.79269071282569203</v>
      </c>
      <c r="K220" s="445">
        <f t="shared" si="32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/>
      <c r="D221" s="386">
        <v>634795.76800000004</v>
      </c>
      <c r="E221" s="387"/>
      <c r="F221" s="475"/>
      <c r="G221" s="387"/>
      <c r="H221" s="475">
        <f t="shared" si="31"/>
        <v>370297.53133333335</v>
      </c>
      <c r="I221" s="45">
        <f t="shared" si="28"/>
        <v>-370297.53133333335</v>
      </c>
      <c r="J221" s="333">
        <f t="shared" si="29"/>
        <v>-1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/>
      <c r="F222" s="475">
        <v>1087</v>
      </c>
      <c r="G222" s="387">
        <f>3836896+F222</f>
        <v>3837983</v>
      </c>
      <c r="H222" s="475">
        <f t="shared" si="31"/>
        <v>1406024.2892266666</v>
      </c>
      <c r="I222" s="45">
        <f t="shared" si="28"/>
        <v>2431958.7107733334</v>
      </c>
      <c r="J222" s="333">
        <f t="shared" si="29"/>
        <v>1.7296704825141715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/>
      <c r="F223" s="475"/>
      <c r="G223" s="387"/>
      <c r="H223" s="475">
        <f t="shared" si="31"/>
        <v>0</v>
      </c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/>
      <c r="F224" s="475"/>
      <c r="G224" s="387"/>
      <c r="H224" s="475">
        <f t="shared" si="31"/>
        <v>760025</v>
      </c>
      <c r="I224" s="45">
        <f t="shared" si="28"/>
        <v>-760025</v>
      </c>
      <c r="J224" s="333">
        <f t="shared" si="29"/>
        <v>-1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f>2450000</f>
        <v>2450000</v>
      </c>
      <c r="E225" s="387"/>
      <c r="F225" s="475"/>
      <c r="G225" s="387"/>
      <c r="H225" s="475">
        <f t="shared" si="31"/>
        <v>1429166.6666666665</v>
      </c>
      <c r="I225" s="45">
        <f t="shared" si="28"/>
        <v>-1429166.6666666665</v>
      </c>
      <c r="J225" s="333">
        <f t="shared" si="29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/>
      <c r="F226" s="475"/>
      <c r="G226" s="387"/>
      <c r="H226" s="475">
        <f t="shared" si="31"/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/>
      <c r="F227" s="475"/>
      <c r="G227" s="387">
        <f>3634185-196000+89</f>
        <v>3438274</v>
      </c>
      <c r="H227" s="475">
        <f t="shared" si="31"/>
        <v>93333.333333333343</v>
      </c>
      <c r="I227" s="45">
        <f t="shared" si="28"/>
        <v>3344940.6666666665</v>
      </c>
      <c r="J227" s="333">
        <f t="shared" si="29"/>
        <v>35.838649999999994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 t="shared" ref="H228:H230" si="33">D228/2</f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 t="shared" si="33"/>
        <v>0</v>
      </c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 t="shared" si="33"/>
        <v>0</v>
      </c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4">SUM(C232:C241)</f>
        <v>0</v>
      </c>
      <c r="D231" s="447">
        <f t="shared" si="34"/>
        <v>0</v>
      </c>
      <c r="E231" s="444">
        <f t="shared" si="34"/>
        <v>0</v>
      </c>
      <c r="F231" s="446">
        <f t="shared" si="34"/>
        <v>0</v>
      </c>
      <c r="G231" s="444">
        <f t="shared" si="34"/>
        <v>0</v>
      </c>
      <c r="H231" s="446">
        <f t="shared" si="34"/>
        <v>0</v>
      </c>
      <c r="I231" s="45">
        <f t="shared" si="28"/>
        <v>0</v>
      </c>
      <c r="J231" s="333" t="str">
        <f t="shared" si="29"/>
        <v/>
      </c>
      <c r="K231" s="445">
        <f t="shared" si="34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5">SUM(C243:C252)</f>
        <v>0</v>
      </c>
      <c r="D242" s="447">
        <f t="shared" si="35"/>
        <v>0</v>
      </c>
      <c r="E242" s="444">
        <f t="shared" si="35"/>
        <v>0</v>
      </c>
      <c r="F242" s="446">
        <f t="shared" si="35"/>
        <v>0</v>
      </c>
      <c r="G242" s="444">
        <f t="shared" si="35"/>
        <v>0</v>
      </c>
      <c r="H242" s="446">
        <f t="shared" si="35"/>
        <v>0</v>
      </c>
      <c r="I242" s="45">
        <f t="shared" si="28"/>
        <v>0</v>
      </c>
      <c r="J242" s="333" t="str">
        <f t="shared" si="29"/>
        <v/>
      </c>
      <c r="K242" s="445">
        <f t="shared" si="35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6">SUM(C254:C263)</f>
        <v>0</v>
      </c>
      <c r="D253" s="447">
        <f t="shared" si="36"/>
        <v>0</v>
      </c>
      <c r="E253" s="444">
        <f t="shared" si="36"/>
        <v>0</v>
      </c>
      <c r="F253" s="446">
        <f t="shared" si="36"/>
        <v>0</v>
      </c>
      <c r="G253" s="444">
        <f t="shared" si="36"/>
        <v>0</v>
      </c>
      <c r="H253" s="446">
        <f t="shared" si="36"/>
        <v>0</v>
      </c>
      <c r="I253" s="45">
        <f t="shared" si="28"/>
        <v>0</v>
      </c>
      <c r="J253" s="333" t="str">
        <f t="shared" si="29"/>
        <v/>
      </c>
      <c r="K253" s="445">
        <f t="shared" si="36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7">SUM(C265:C274)</f>
        <v>0</v>
      </c>
      <c r="D264" s="447">
        <f t="shared" si="37"/>
        <v>0</v>
      </c>
      <c r="E264" s="444">
        <f t="shared" si="37"/>
        <v>0</v>
      </c>
      <c r="F264" s="446">
        <f t="shared" si="37"/>
        <v>0</v>
      </c>
      <c r="G264" s="444">
        <f t="shared" si="37"/>
        <v>0</v>
      </c>
      <c r="H264" s="446">
        <f t="shared" si="37"/>
        <v>0</v>
      </c>
      <c r="I264" s="45">
        <f t="shared" ref="I264:I327" si="38">G264-H264</f>
        <v>0</v>
      </c>
      <c r="J264" s="333" t="str">
        <f t="shared" ref="J264:J327" si="39">IF(I264=0,"",I264/H264)</f>
        <v/>
      </c>
      <c r="K264" s="445">
        <f t="shared" si="37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38"/>
        <v>0</v>
      </c>
      <c r="J265" s="333" t="str">
        <f t="shared" si="39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8"/>
        <v>0</v>
      </c>
      <c r="J266" s="333" t="str">
        <f t="shared" si="39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8"/>
        <v>0</v>
      </c>
      <c r="J267" s="333" t="str">
        <f t="shared" si="39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8"/>
        <v>0</v>
      </c>
      <c r="J268" s="333" t="str">
        <f t="shared" si="39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8"/>
        <v>0</v>
      </c>
      <c r="J269" s="333" t="str">
        <f t="shared" si="39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8"/>
        <v>0</v>
      </c>
      <c r="J270" s="333" t="str">
        <f t="shared" si="39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8"/>
        <v>0</v>
      </c>
      <c r="J271" s="333" t="str">
        <f t="shared" si="39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8"/>
        <v>0</v>
      </c>
      <c r="J272" s="333" t="str">
        <f t="shared" si="39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8"/>
        <v>0</v>
      </c>
      <c r="J273" s="333" t="str">
        <f t="shared" si="39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8"/>
        <v>0</v>
      </c>
      <c r="J274" s="333" t="str">
        <f t="shared" si="39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40">SUM(C276:C285)</f>
        <v>0</v>
      </c>
      <c r="D275" s="447">
        <f t="shared" si="40"/>
        <v>0</v>
      </c>
      <c r="E275" s="444">
        <f t="shared" si="40"/>
        <v>0</v>
      </c>
      <c r="F275" s="446">
        <f t="shared" si="40"/>
        <v>0</v>
      </c>
      <c r="G275" s="444">
        <f t="shared" si="40"/>
        <v>0</v>
      </c>
      <c r="H275" s="446">
        <f t="shared" si="40"/>
        <v>0</v>
      </c>
      <c r="I275" s="45">
        <f t="shared" si="38"/>
        <v>0</v>
      </c>
      <c r="J275" s="333" t="str">
        <f t="shared" si="39"/>
        <v/>
      </c>
      <c r="K275" s="445">
        <f t="shared" si="40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38"/>
        <v>0</v>
      </c>
      <c r="J276" s="333" t="str">
        <f t="shared" si="39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8"/>
        <v>0</v>
      </c>
      <c r="J277" s="333" t="str">
        <f t="shared" si="39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8"/>
        <v>0</v>
      </c>
      <c r="J278" s="333" t="str">
        <f t="shared" si="39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8"/>
        <v>0</v>
      </c>
      <c r="J279" s="333" t="str">
        <f t="shared" si="39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8"/>
        <v>0</v>
      </c>
      <c r="J280" s="333" t="str">
        <f t="shared" si="39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8"/>
        <v>0</v>
      </c>
      <c r="J281" s="333" t="str">
        <f t="shared" si="39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8"/>
        <v>0</v>
      </c>
      <c r="J282" s="333" t="str">
        <f t="shared" si="39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8"/>
        <v>0</v>
      </c>
      <c r="J283" s="333" t="str">
        <f t="shared" si="39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8"/>
        <v>0</v>
      </c>
      <c r="J284" s="333" t="str">
        <f t="shared" si="39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8"/>
        <v>0</v>
      </c>
      <c r="J285" s="333" t="str">
        <f t="shared" si="39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41">SUM(C287:C296)</f>
        <v>0</v>
      </c>
      <c r="D286" s="447">
        <f t="shared" si="41"/>
        <v>0</v>
      </c>
      <c r="E286" s="444">
        <f t="shared" si="41"/>
        <v>0</v>
      </c>
      <c r="F286" s="446">
        <f t="shared" si="41"/>
        <v>0</v>
      </c>
      <c r="G286" s="444">
        <f t="shared" si="41"/>
        <v>0</v>
      </c>
      <c r="H286" s="446">
        <f t="shared" si="41"/>
        <v>0</v>
      </c>
      <c r="I286" s="45">
        <f t="shared" si="38"/>
        <v>0</v>
      </c>
      <c r="J286" s="333" t="str">
        <f t="shared" si="39"/>
        <v/>
      </c>
      <c r="K286" s="445">
        <f t="shared" si="41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38"/>
        <v>0</v>
      </c>
      <c r="J287" s="333" t="str">
        <f t="shared" si="39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8"/>
        <v>0</v>
      </c>
      <c r="J288" s="333" t="str">
        <f t="shared" si="39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8"/>
        <v>0</v>
      </c>
      <c r="J289" s="333" t="str">
        <f t="shared" si="39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8"/>
        <v>0</v>
      </c>
      <c r="J290" s="333" t="str">
        <f t="shared" si="39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8"/>
        <v>0</v>
      </c>
      <c r="J291" s="333" t="str">
        <f t="shared" si="39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8"/>
        <v>0</v>
      </c>
      <c r="J292" s="333" t="str">
        <f t="shared" si="39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8"/>
        <v>0</v>
      </c>
      <c r="J293" s="333" t="str">
        <f t="shared" si="39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8"/>
        <v>0</v>
      </c>
      <c r="J294" s="333" t="str">
        <f t="shared" si="39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8"/>
        <v>0</v>
      </c>
      <c r="J295" s="333" t="str">
        <f t="shared" si="39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8"/>
        <v>0</v>
      </c>
      <c r="J296" s="333" t="str">
        <f t="shared" si="39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2">SUM(C298:C307)</f>
        <v>0</v>
      </c>
      <c r="D297" s="447">
        <f t="shared" si="42"/>
        <v>0</v>
      </c>
      <c r="E297" s="444">
        <f t="shared" si="42"/>
        <v>0</v>
      </c>
      <c r="F297" s="446">
        <f t="shared" si="42"/>
        <v>0</v>
      </c>
      <c r="G297" s="444">
        <f t="shared" si="42"/>
        <v>0</v>
      </c>
      <c r="H297" s="446">
        <f t="shared" si="42"/>
        <v>0</v>
      </c>
      <c r="I297" s="45">
        <f t="shared" si="38"/>
        <v>0</v>
      </c>
      <c r="J297" s="333" t="str">
        <f t="shared" si="39"/>
        <v/>
      </c>
      <c r="K297" s="445">
        <f t="shared" si="42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8"/>
        <v>0</v>
      </c>
      <c r="J298" s="333" t="str">
        <f t="shared" si="39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8"/>
        <v>0</v>
      </c>
      <c r="J299" s="333" t="str">
        <f t="shared" si="39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8"/>
        <v>0</v>
      </c>
      <c r="J300" s="333" t="str">
        <f t="shared" si="39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8"/>
        <v>0</v>
      </c>
      <c r="J301" s="333" t="str">
        <f t="shared" si="39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8"/>
        <v>0</v>
      </c>
      <c r="J302" s="333" t="str">
        <f t="shared" si="39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8"/>
        <v>0</v>
      </c>
      <c r="J303" s="333" t="str">
        <f t="shared" si="39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8"/>
        <v>0</v>
      </c>
      <c r="J304" s="333" t="str">
        <f t="shared" si="39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8"/>
        <v>0</v>
      </c>
      <c r="J305" s="333" t="str">
        <f t="shared" si="39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8"/>
        <v>0</v>
      </c>
      <c r="J306" s="333" t="str">
        <f t="shared" si="39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8"/>
        <v>0</v>
      </c>
      <c r="J307" s="333" t="str">
        <f t="shared" si="39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3">SUM(C309:C318)</f>
        <v>0</v>
      </c>
      <c r="D308" s="447">
        <f t="shared" si="43"/>
        <v>0</v>
      </c>
      <c r="E308" s="444">
        <f t="shared" si="43"/>
        <v>0</v>
      </c>
      <c r="F308" s="446">
        <f t="shared" si="43"/>
        <v>0</v>
      </c>
      <c r="G308" s="444">
        <f t="shared" si="43"/>
        <v>0</v>
      </c>
      <c r="H308" s="446">
        <f t="shared" si="43"/>
        <v>0</v>
      </c>
      <c r="I308" s="45">
        <f t="shared" si="38"/>
        <v>0</v>
      </c>
      <c r="J308" s="333" t="str">
        <f t="shared" si="39"/>
        <v/>
      </c>
      <c r="K308" s="445">
        <f t="shared" si="43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8"/>
        <v>0</v>
      </c>
      <c r="J309" s="333" t="str">
        <f t="shared" si="39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8"/>
        <v>0</v>
      </c>
      <c r="J310" s="333" t="str">
        <f t="shared" si="39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8"/>
        <v>0</v>
      </c>
      <c r="J311" s="333" t="str">
        <f t="shared" si="39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8"/>
        <v>0</v>
      </c>
      <c r="J312" s="333" t="str">
        <f t="shared" si="39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8"/>
        <v>0</v>
      </c>
      <c r="J313" s="333" t="str">
        <f t="shared" si="39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8"/>
        <v>0</v>
      </c>
      <c r="J314" s="333" t="str">
        <f t="shared" si="39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8"/>
        <v>0</v>
      </c>
      <c r="J315" s="333" t="str">
        <f t="shared" si="39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8"/>
        <v>0</v>
      </c>
      <c r="J316" s="333" t="str">
        <f t="shared" si="39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8"/>
        <v>0</v>
      </c>
      <c r="J317" s="333" t="str">
        <f t="shared" si="39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8"/>
        <v>0</v>
      </c>
      <c r="J318" s="333" t="str">
        <f t="shared" si="39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4">SUM(C320:C329)</f>
        <v>0</v>
      </c>
      <c r="D319" s="447">
        <f t="shared" si="44"/>
        <v>0</v>
      </c>
      <c r="E319" s="444">
        <f t="shared" si="44"/>
        <v>0</v>
      </c>
      <c r="F319" s="446">
        <f t="shared" si="44"/>
        <v>0</v>
      </c>
      <c r="G319" s="444">
        <f t="shared" si="44"/>
        <v>0</v>
      </c>
      <c r="H319" s="446">
        <f t="shared" si="44"/>
        <v>0</v>
      </c>
      <c r="I319" s="45">
        <f t="shared" si="38"/>
        <v>0</v>
      </c>
      <c r="J319" s="333" t="str">
        <f t="shared" si="39"/>
        <v/>
      </c>
      <c r="K319" s="445">
        <f t="shared" si="44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8"/>
        <v>0</v>
      </c>
      <c r="J320" s="333" t="str">
        <f t="shared" si="39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8"/>
        <v>0</v>
      </c>
      <c r="J321" s="333" t="str">
        <f t="shared" si="39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8"/>
        <v>0</v>
      </c>
      <c r="J322" s="333" t="str">
        <f t="shared" si="39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8"/>
        <v>0</v>
      </c>
      <c r="J323" s="333" t="str">
        <f t="shared" si="39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8"/>
        <v>0</v>
      </c>
      <c r="J324" s="333" t="str">
        <f t="shared" si="39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8"/>
        <v>0</v>
      </c>
      <c r="J325" s="333" t="str">
        <f t="shared" si="39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8"/>
        <v>0</v>
      </c>
      <c r="J326" s="333" t="str">
        <f t="shared" si="39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8"/>
        <v>0</v>
      </c>
      <c r="J327" s="333" t="str">
        <f t="shared" si="39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5">G328-H328</f>
        <v>0</v>
      </c>
      <c r="J328" s="333" t="str">
        <f t="shared" ref="J328:J343" si="46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5"/>
        <v>0</v>
      </c>
      <c r="J329" s="333" t="str">
        <f t="shared" si="46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7">SUM(C331:C340)</f>
        <v>0</v>
      </c>
      <c r="D330" s="447">
        <f t="shared" si="47"/>
        <v>0</v>
      </c>
      <c r="E330" s="444">
        <f t="shared" si="47"/>
        <v>0</v>
      </c>
      <c r="F330" s="446">
        <f t="shared" si="47"/>
        <v>0</v>
      </c>
      <c r="G330" s="444">
        <f t="shared" si="47"/>
        <v>0</v>
      </c>
      <c r="H330" s="446">
        <f t="shared" si="47"/>
        <v>0</v>
      </c>
      <c r="I330" s="45">
        <f t="shared" si="45"/>
        <v>0</v>
      </c>
      <c r="J330" s="333" t="str">
        <f t="shared" si="46"/>
        <v/>
      </c>
      <c r="K330" s="445">
        <f t="shared" si="47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5"/>
        <v>0</v>
      </c>
      <c r="J331" s="333" t="str">
        <f t="shared" si="46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5"/>
        <v>0</v>
      </c>
      <c r="J332" s="333" t="str">
        <f t="shared" si="46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5"/>
        <v>0</v>
      </c>
      <c r="J333" s="333" t="str">
        <f t="shared" si="46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5"/>
        <v>0</v>
      </c>
      <c r="J334" s="333" t="str">
        <f t="shared" si="46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5"/>
        <v>0</v>
      </c>
      <c r="J335" s="333" t="str">
        <f t="shared" si="46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5"/>
        <v>0</v>
      </c>
      <c r="J336" s="333" t="str">
        <f t="shared" si="46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5"/>
        <v>0</v>
      </c>
      <c r="J337" s="333" t="str">
        <f t="shared" si="46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5"/>
        <v>0</v>
      </c>
      <c r="J338" s="333" t="str">
        <f t="shared" si="46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5"/>
        <v>0</v>
      </c>
      <c r="J339" s="333" t="str">
        <f t="shared" si="46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5"/>
        <v>0</v>
      </c>
      <c r="J340" s="333" t="str">
        <f t="shared" si="46"/>
        <v/>
      </c>
      <c r="K340" s="398"/>
      <c r="L340" s="455">
        <f t="shared" ref="L340:W340" si="48">SUM(L175:L251)</f>
        <v>0</v>
      </c>
      <c r="M340" s="456">
        <f t="shared" si="48"/>
        <v>0</v>
      </c>
      <c r="N340" s="456">
        <f t="shared" si="48"/>
        <v>0</v>
      </c>
      <c r="O340" s="456">
        <f t="shared" si="48"/>
        <v>0</v>
      </c>
      <c r="P340" s="456">
        <f t="shared" si="48"/>
        <v>0</v>
      </c>
      <c r="Q340" s="456">
        <f t="shared" si="48"/>
        <v>0</v>
      </c>
      <c r="R340" s="456">
        <f t="shared" si="48"/>
        <v>0</v>
      </c>
      <c r="S340" s="456">
        <f t="shared" si="48"/>
        <v>0</v>
      </c>
      <c r="T340" s="456">
        <f t="shared" si="48"/>
        <v>0</v>
      </c>
      <c r="U340" s="456">
        <f t="shared" si="48"/>
        <v>0</v>
      </c>
      <c r="V340" s="456">
        <f t="shared" si="48"/>
        <v>0</v>
      </c>
      <c r="W340" s="456">
        <f t="shared" si="48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9">D176+D187+D198+D209+D220+D231+D242+D253+D264+D286+D297+D308+D319+D330+D275</f>
        <v>105703023.12096</v>
      </c>
      <c r="E341" s="433">
        <f t="shared" si="49"/>
        <v>0</v>
      </c>
      <c r="F341" s="477">
        <f t="shared" si="49"/>
        <v>4858051</v>
      </c>
      <c r="G341" s="433">
        <f t="shared" si="49"/>
        <v>40003744</v>
      </c>
      <c r="H341" s="477">
        <f t="shared" si="49"/>
        <v>61660096.820559993</v>
      </c>
      <c r="I341" s="433">
        <f t="shared" si="45"/>
        <v>-21656352.820559993</v>
      </c>
      <c r="J341" s="433">
        <f t="shared" si="46"/>
        <v>-0.35122151824677122</v>
      </c>
      <c r="K341" s="516">
        <f t="shared" si="49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5"/>
        <v>0</v>
      </c>
      <c r="J342" s="51" t="str">
        <f t="shared" si="46"/>
        <v/>
      </c>
      <c r="K342" s="195"/>
      <c r="L342" s="483">
        <f t="shared" ref="L342:W342" si="50">L171-L340</f>
        <v>0</v>
      </c>
      <c r="M342" s="484">
        <f t="shared" si="50"/>
        <v>0</v>
      </c>
      <c r="N342" s="484">
        <f t="shared" si="50"/>
        <v>0</v>
      </c>
      <c r="O342" s="484">
        <f t="shared" si="50"/>
        <v>0</v>
      </c>
      <c r="P342" s="484">
        <f t="shared" si="50"/>
        <v>0</v>
      </c>
      <c r="Q342" s="484">
        <f t="shared" si="50"/>
        <v>0</v>
      </c>
      <c r="R342" s="484">
        <f t="shared" si="50"/>
        <v>0</v>
      </c>
      <c r="S342" s="484">
        <f t="shared" si="50"/>
        <v>0</v>
      </c>
      <c r="T342" s="484">
        <f t="shared" si="50"/>
        <v>0</v>
      </c>
      <c r="U342" s="484">
        <f t="shared" si="50"/>
        <v>0</v>
      </c>
      <c r="V342" s="484">
        <f t="shared" si="50"/>
        <v>0</v>
      </c>
      <c r="W342" s="484">
        <f t="shared" si="50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51">D172+D341</f>
        <v>105703023.12096</v>
      </c>
      <c r="E343" s="56">
        <f t="shared" si="51"/>
        <v>0</v>
      </c>
      <c r="F343" s="482">
        <f t="shared" si="51"/>
        <v>4858051</v>
      </c>
      <c r="G343" s="56">
        <f t="shared" si="51"/>
        <v>40003744</v>
      </c>
      <c r="H343" s="482">
        <f t="shared" si="51"/>
        <v>61660096.820559993</v>
      </c>
      <c r="I343" s="56">
        <f t="shared" si="45"/>
        <v>-21656352.820559993</v>
      </c>
      <c r="J343" s="56">
        <f t="shared" si="46"/>
        <v>-0.35122151824677122</v>
      </c>
      <c r="K343" s="236">
        <f t="shared" si="51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5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29" activePane="bottomRight" state="frozen"/>
      <selection activeCell="O16" sqref="O16"/>
      <selection pane="topRight" activeCell="O16" sqref="O16"/>
      <selection pane="bottomLeft" activeCell="O16" sqref="O16"/>
      <selection pane="bottomRight" activeCell="G37" sqref="G37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3" t="str">
        <f>muni&amp; " - "&amp;S71E&amp; " - "&amp;date</f>
        <v>NW385 Ramotshere Moiloa - Table C6 Monthly Budget Statement - Financial Position - M07 January</v>
      </c>
      <c r="B1" s="1003"/>
      <c r="C1" s="1003"/>
      <c r="D1" s="1003"/>
      <c r="E1" s="1003"/>
      <c r="F1" s="1003"/>
      <c r="G1" s="1003"/>
    </row>
    <row r="2" spans="1:8" x14ac:dyDescent="0.25">
      <c r="A2" s="988" t="str">
        <f>desc</f>
        <v>Description</v>
      </c>
      <c r="B2" s="981" t="str">
        <f>head27</f>
        <v>Ref</v>
      </c>
      <c r="C2" s="141" t="str">
        <f>Head1</f>
        <v>2014/15</v>
      </c>
      <c r="D2" s="246" t="str">
        <f>Head2</f>
        <v>Budget Year 2015/16</v>
      </c>
      <c r="E2" s="230"/>
      <c r="F2" s="230"/>
      <c r="G2" s="231"/>
    </row>
    <row r="3" spans="1:8" ht="25.5" x14ac:dyDescent="0.25">
      <c r="A3" s="989"/>
      <c r="B3" s="992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/>
      <c r="F7" s="747">
        <v>40698470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/>
      <c r="F8" s="747"/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/>
      <c r="F9" s="747"/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/>
      <c r="F10" s="747">
        <v>169928662</v>
      </c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/>
      <c r="F11" s="747"/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/>
      <c r="F12" s="747"/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0</v>
      </c>
      <c r="F13" s="74">
        <f>SUM(F7:F12)</f>
        <v>210627132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/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/>
      <c r="F17" s="747">
        <v>19895357</v>
      </c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/>
      <c r="F18" s="747">
        <v>1025935</v>
      </c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/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/>
      <c r="F20" s="747">
        <v>580030814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/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/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/>
      <c r="F23" s="747">
        <v>274642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/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0</v>
      </c>
      <c r="F25" s="74">
        <f>SUM(F16:F24)</f>
        <v>601226748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0</v>
      </c>
      <c r="F26" s="74">
        <f>F13+F25</f>
        <v>811853880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/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/>
      <c r="F31" s="747">
        <v>226030343</v>
      </c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/>
      <c r="F32" s="747">
        <v>3366253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/>
      <c r="F33" s="747"/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/>
      <c r="F34" s="747"/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0</v>
      </c>
      <c r="F35" s="74">
        <f>SUM(F30:F34)</f>
        <v>229396596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/>
      <c r="F38" s="747">
        <v>52643999</v>
      </c>
      <c r="G38" s="749"/>
    </row>
    <row r="39" spans="1:7" ht="12.75" customHeight="1" x14ac:dyDescent="0.25">
      <c r="A39" s="40" t="s">
        <v>684</v>
      </c>
      <c r="B39" s="170"/>
      <c r="C39" s="762">
        <f>17076000+34659000</f>
        <v>51735000</v>
      </c>
      <c r="D39" s="767">
        <v>42673400.000000007</v>
      </c>
      <c r="E39" s="747"/>
      <c r="F39" s="747">
        <v>325115</v>
      </c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0</v>
      </c>
      <c r="F40" s="74">
        <f>SUM(F38:F39)</f>
        <v>52969114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0</v>
      </c>
      <c r="F41" s="74">
        <f>F35+F40</f>
        <v>282365710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0</v>
      </c>
      <c r="F43" s="77">
        <f>F26-F41</f>
        <v>529488170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/>
      <c r="F46" s="747">
        <v>529488170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/>
      <c r="F47" s="747"/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0</v>
      </c>
      <c r="F48" s="56">
        <f>SUM(F46:F47)</f>
        <v>529488170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1002" t="s">
        <v>179</v>
      </c>
      <c r="B50" s="1002"/>
      <c r="C50" s="1002"/>
      <c r="D50" s="1002"/>
      <c r="E50" s="1002"/>
      <c r="F50" s="1002"/>
      <c r="G50" s="1002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0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5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23" activePane="bottomRight" state="frozen"/>
      <selection activeCell="O16" sqref="O16"/>
      <selection pane="topRight" activeCell="O16" sqref="O16"/>
      <selection pane="bottomLeft" activeCell="O16" sqref="O16"/>
      <selection pane="bottomRight" activeCell="H7" sqref="H7:H12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"&amp;S71F&amp; " - "&amp;date</f>
        <v>NW385 Ramotshere Moiloa - Table C7 Monthly Budget Statement - Cash Flow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/>
      <c r="D7" s="759">
        <v>30836372.271249965</v>
      </c>
      <c r="E7" s="747"/>
      <c r="F7" s="747">
        <v>1558287</v>
      </c>
      <c r="G7" s="747">
        <f>9091524+F7</f>
        <v>10649811</v>
      </c>
      <c r="H7" s="759">
        <f t="shared" ref="H7:H12" si="0">(D7/12)*7</f>
        <v>17987883.82489581</v>
      </c>
      <c r="I7" s="45">
        <f>G7-H7</f>
        <v>-7338072.8248958103</v>
      </c>
      <c r="J7" s="333">
        <f>IF(I7=0,"",I7/H7)</f>
        <v>-0.40794530898290998</v>
      </c>
      <c r="K7" s="749"/>
    </row>
    <row r="8" spans="1:11" ht="12.75" customHeight="1" x14ac:dyDescent="0.25">
      <c r="A8" s="521" t="s">
        <v>1130</v>
      </c>
      <c r="B8" s="170"/>
      <c r="C8" s="762"/>
      <c r="D8" s="759">
        <v>62447438.75</v>
      </c>
      <c r="E8" s="747"/>
      <c r="F8" s="747">
        <v>4782558</v>
      </c>
      <c r="G8" s="747">
        <f>24163601+F8</f>
        <v>28946159</v>
      </c>
      <c r="H8" s="759">
        <f t="shared" si="0"/>
        <v>36427672.604166672</v>
      </c>
      <c r="I8" s="45">
        <f t="shared" ref="I8:I9" si="1">G8-H8</f>
        <v>-7481513.6041666716</v>
      </c>
      <c r="J8" s="333">
        <f t="shared" ref="J8:J10" si="2">IF(I8=0,"",I8/H8)</f>
        <v>-0.20537995071666809</v>
      </c>
      <c r="K8" s="749"/>
    </row>
    <row r="9" spans="1:11" ht="12.75" customHeight="1" x14ac:dyDescent="0.25">
      <c r="A9" s="521" t="s">
        <v>561</v>
      </c>
      <c r="B9" s="170"/>
      <c r="C9" s="762"/>
      <c r="D9" s="759">
        <v>11018893.449643519</v>
      </c>
      <c r="E9" s="747"/>
      <c r="F9" s="747">
        <f>727184-F12</f>
        <v>626191</v>
      </c>
      <c r="G9" s="747">
        <f>86974158.7+F9</f>
        <v>87600349.700000003</v>
      </c>
      <c r="H9" s="759">
        <f t="shared" si="0"/>
        <v>6427687.8456253866</v>
      </c>
      <c r="I9" s="45">
        <f t="shared" si="1"/>
        <v>81172661.854374617</v>
      </c>
      <c r="J9" s="333">
        <f t="shared" si="2"/>
        <v>12.628594263428619</v>
      </c>
      <c r="K9" s="749"/>
    </row>
    <row r="10" spans="1:11" ht="12.75" customHeight="1" x14ac:dyDescent="0.25">
      <c r="A10" s="87" t="s">
        <v>843</v>
      </c>
      <c r="B10" s="172"/>
      <c r="C10" s="762"/>
      <c r="D10" s="759">
        <v>145031000</v>
      </c>
      <c r="E10" s="747"/>
      <c r="F10" s="747"/>
      <c r="G10" s="747">
        <v>59655718</v>
      </c>
      <c r="H10" s="759">
        <f t="shared" si="0"/>
        <v>84601416.666666657</v>
      </c>
      <c r="I10" s="45">
        <f>G10-H10</f>
        <v>-24945698.666666657</v>
      </c>
      <c r="J10" s="333">
        <f t="shared" si="2"/>
        <v>-0.29486147690592251</v>
      </c>
      <c r="K10" s="749"/>
    </row>
    <row r="11" spans="1:11" ht="12.75" customHeight="1" x14ac:dyDescent="0.25">
      <c r="A11" s="87" t="s">
        <v>844</v>
      </c>
      <c r="B11" s="172"/>
      <c r="C11" s="762"/>
      <c r="D11" s="759">
        <v>80087000</v>
      </c>
      <c r="E11" s="747"/>
      <c r="F11" s="747"/>
      <c r="G11" s="747">
        <v>40122000</v>
      </c>
      <c r="H11" s="759">
        <f t="shared" si="0"/>
        <v>46717416.666666672</v>
      </c>
      <c r="I11" s="45">
        <f>G11-H11</f>
        <v>-6595416.6666666716</v>
      </c>
      <c r="J11" s="333">
        <f t="shared" ref="J11:J18" si="3">IF(I11=0,"",I11/H11)</f>
        <v>-0.14117682734312159</v>
      </c>
      <c r="K11" s="749"/>
    </row>
    <row r="12" spans="1:11" ht="12.75" customHeight="1" x14ac:dyDescent="0.25">
      <c r="A12" s="87" t="s">
        <v>1047</v>
      </c>
      <c r="B12" s="172"/>
      <c r="C12" s="762"/>
      <c r="D12" s="759">
        <v>3744271</v>
      </c>
      <c r="E12" s="747"/>
      <c r="F12" s="747">
        <v>100993</v>
      </c>
      <c r="G12" s="747">
        <f>492361.1+F12</f>
        <v>593354.1</v>
      </c>
      <c r="H12" s="759">
        <f t="shared" si="0"/>
        <v>2184158.083333333</v>
      </c>
      <c r="I12" s="45">
        <f>G12-H12</f>
        <v>-1590803.9833333329</v>
      </c>
      <c r="J12" s="333">
        <f t="shared" si="3"/>
        <v>-0.72833738339376142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 t="shared" ref="H13" si="4">(D13/3)</f>
        <v>0</v>
      </c>
      <c r="I13" s="45">
        <f>G13-H13</f>
        <v>0</v>
      </c>
      <c r="J13" s="333" t="str">
        <f t="shared" si="3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/>
      <c r="D15" s="759">
        <v>-228162454.83395123</v>
      </c>
      <c r="E15" s="747"/>
      <c r="F15" s="747">
        <f>-11369329-1550551</f>
        <v>-12919880</v>
      </c>
      <c r="G15" s="747">
        <v>-187527453.80200401</v>
      </c>
      <c r="H15" s="759">
        <f>(D15/12)*7</f>
        <v>-133094765.31980489</v>
      </c>
      <c r="I15" s="45">
        <f>H15-G15</f>
        <v>54432688.482199118</v>
      </c>
      <c r="J15" s="333">
        <f t="shared" si="3"/>
        <v>-0.40897692971925903</v>
      </c>
      <c r="K15" s="749"/>
    </row>
    <row r="16" spans="1:11" ht="12.75" customHeight="1" x14ac:dyDescent="0.25">
      <c r="A16" s="87" t="s">
        <v>560</v>
      </c>
      <c r="B16" s="172"/>
      <c r="C16" s="762"/>
      <c r="D16" s="759">
        <v>-1284984.6954000003</v>
      </c>
      <c r="E16" s="747"/>
      <c r="F16" s="747"/>
      <c r="G16" s="747">
        <v>0</v>
      </c>
      <c r="H16" s="759">
        <f>(D16/12)*7</f>
        <v>-749574.4056500002</v>
      </c>
      <c r="I16" s="45">
        <f>H16-G16</f>
        <v>-749574.4056500002</v>
      </c>
      <c r="J16" s="333">
        <f t="shared" si="3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/>
      <c r="F17" s="747">
        <v>-252950</v>
      </c>
      <c r="G17" s="747">
        <f>-934190+F17</f>
        <v>-1187140</v>
      </c>
      <c r="H17" s="759">
        <f>(D17/12)*7</f>
        <v>-5632083.333333334</v>
      </c>
      <c r="I17" s="45">
        <f>H17-G17</f>
        <v>-4444943.333333334</v>
      </c>
      <c r="J17" s="333">
        <f t="shared" si="3"/>
        <v>0.78921831767404016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5">SUM(C7:C13)+SUM(C15:C17)</f>
        <v>0</v>
      </c>
      <c r="D18" s="75">
        <f t="shared" si="5"/>
        <v>94062535.941542268</v>
      </c>
      <c r="E18" s="74">
        <f t="shared" si="5"/>
        <v>0</v>
      </c>
      <c r="F18" s="74">
        <f t="shared" si="5"/>
        <v>-6104801</v>
      </c>
      <c r="G18" s="74">
        <f t="shared" si="5"/>
        <v>38852797.997995973</v>
      </c>
      <c r="H18" s="74">
        <f t="shared" si="5"/>
        <v>54869812.632566303</v>
      </c>
      <c r="I18" s="74">
        <f>H18-G18</f>
        <v>16017014.63457033</v>
      </c>
      <c r="J18" s="334">
        <f t="shared" si="3"/>
        <v>0.29190941003986443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6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f>(D23/12)*7</f>
        <v>27165963.06666667</v>
      </c>
      <c r="I23" s="45">
        <f>G23-H23</f>
        <v>-27165963.06666667</v>
      </c>
      <c r="J23" s="333">
        <f t="shared" si="6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6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6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/>
      <c r="D27" s="759">
        <v>-105703023.12096</v>
      </c>
      <c r="E27" s="747"/>
      <c r="F27" s="747">
        <v>4858051</v>
      </c>
      <c r="G27" s="747">
        <f>-22337580+F27</f>
        <v>-17479529</v>
      </c>
      <c r="H27" s="759">
        <f>(D27/12)*7</f>
        <v>-61660096.820560001</v>
      </c>
      <c r="I27" s="45">
        <f>H27-G27</f>
        <v>-44180567.820560001</v>
      </c>
      <c r="J27" s="333">
        <f t="shared" si="6"/>
        <v>0.71651797675783713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7">SUM(C22:C25)+C27</f>
        <v>0</v>
      </c>
      <c r="D28" s="75">
        <f>SUM(D22:D25)+D27</f>
        <v>-59132800.720959991</v>
      </c>
      <c r="E28" s="74">
        <f t="shared" si="7"/>
        <v>0</v>
      </c>
      <c r="F28" s="74">
        <f t="shared" si="7"/>
        <v>4858051</v>
      </c>
      <c r="G28" s="74">
        <f t="shared" si="7"/>
        <v>-17479529</v>
      </c>
      <c r="H28" s="74">
        <f t="shared" si="7"/>
        <v>-34494133.753893331</v>
      </c>
      <c r="I28" s="74">
        <f>H28-G28</f>
        <v>-17014604.753893331</v>
      </c>
      <c r="J28" s="334">
        <f t="shared" si="6"/>
        <v>0.49326082154397927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8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8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/>
      <c r="F34" s="747"/>
      <c r="G34" s="747"/>
      <c r="H34" s="747"/>
      <c r="I34" s="45">
        <f>G34-H34</f>
        <v>0</v>
      </c>
      <c r="J34" s="333" t="str">
        <f t="shared" si="8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8"/>
        <v/>
      </c>
      <c r="K35" s="145"/>
    </row>
    <row r="36" spans="1:11" ht="12.75" customHeight="1" x14ac:dyDescent="0.25">
      <c r="A36" s="40" t="s">
        <v>1064</v>
      </c>
      <c r="B36" s="170"/>
      <c r="C36" s="762"/>
      <c r="D36" s="759">
        <v>-2200000</v>
      </c>
      <c r="E36" s="747"/>
      <c r="F36" s="747"/>
      <c r="G36" s="747"/>
      <c r="H36" s="759">
        <f>(D36/12)*7</f>
        <v>-1283333.3333333335</v>
      </c>
      <c r="I36" s="45">
        <f>H36-G36</f>
        <v>-1283333.3333333335</v>
      </c>
      <c r="J36" s="333">
        <f t="shared" si="8"/>
        <v>1</v>
      </c>
      <c r="K36" s="749">
        <f t="shared" ref="K36" si="9"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10">SUM(C32:C34)+C36</f>
        <v>0</v>
      </c>
      <c r="D37" s="75">
        <f t="shared" si="10"/>
        <v>-2200000</v>
      </c>
      <c r="E37" s="74">
        <f t="shared" si="10"/>
        <v>0</v>
      </c>
      <c r="F37" s="74">
        <f t="shared" si="10"/>
        <v>0</v>
      </c>
      <c r="G37" s="74">
        <f t="shared" si="10"/>
        <v>0</v>
      </c>
      <c r="H37" s="74">
        <f t="shared" si="10"/>
        <v>-1283333.3333333335</v>
      </c>
      <c r="I37" s="74">
        <f>H37-G37</f>
        <v>-1283333.3333333335</v>
      </c>
      <c r="J37" s="334">
        <f t="shared" si="8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1">C18+C28+C37</f>
        <v>0</v>
      </c>
      <c r="D39" s="52">
        <f t="shared" si="11"/>
        <v>32729735.220582277</v>
      </c>
      <c r="E39" s="51">
        <f t="shared" si="11"/>
        <v>0</v>
      </c>
      <c r="F39" s="51">
        <f t="shared" si="11"/>
        <v>-1246750</v>
      </c>
      <c r="G39" s="51">
        <f t="shared" si="11"/>
        <v>21373268.997995973</v>
      </c>
      <c r="H39" s="51">
        <f t="shared" si="11"/>
        <v>19092345.54533964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/>
      <c r="D40" s="759">
        <v>18157447</v>
      </c>
      <c r="E40" s="747"/>
      <c r="F40" s="274"/>
      <c r="G40" s="747">
        <v>18146493</v>
      </c>
      <c r="H40" s="45">
        <f>IF(E40=0, D40, E40)</f>
        <v>18157447</v>
      </c>
      <c r="I40" s="274"/>
      <c r="J40" s="274"/>
      <c r="K40" s="388">
        <f>G40</f>
        <v>18146493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50887182.220582277</v>
      </c>
      <c r="E41" s="116">
        <f>E39+E40</f>
        <v>0</v>
      </c>
      <c r="F41" s="275"/>
      <c r="G41" s="116">
        <f>G39+G40</f>
        <v>39519761.997995973</v>
      </c>
      <c r="H41" s="116">
        <f>H39+H40</f>
        <v>37249792.545339644</v>
      </c>
      <c r="I41" s="275"/>
      <c r="J41" s="275"/>
      <c r="K41" s="191">
        <f>K39+K40</f>
        <v>18146493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17" activePane="bottomRight" state="frozen"/>
      <selection activeCell="O16" sqref="O16"/>
      <selection pane="topRight" activeCell="O16" sqref="O16"/>
      <selection pane="bottomLeft" activeCell="O16" sqref="O16"/>
      <selection pane="bottomRight" activeCell="G16" sqref="G16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9" t="str">
        <f>muni&amp; " - "&amp;S71G&amp; " - "&amp;date</f>
        <v>NW385 Ramotshere Moiloa - Supporting Table SC1 Material variance explanations  - M07 January</v>
      </c>
      <c r="B1" s="999"/>
      <c r="C1" s="999"/>
      <c r="D1" s="999"/>
      <c r="E1" s="999"/>
    </row>
    <row r="2" spans="1:5" x14ac:dyDescent="0.25">
      <c r="A2" s="981" t="str">
        <f>head27</f>
        <v>Ref</v>
      </c>
      <c r="B2" s="988" t="str">
        <f>desc</f>
        <v>Description</v>
      </c>
      <c r="C2" s="270"/>
      <c r="D2" s="270"/>
      <c r="E2" s="276"/>
    </row>
    <row r="3" spans="1:5" x14ac:dyDescent="0.25">
      <c r="A3" s="992"/>
      <c r="B3" s="989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-4208557.37249998</v>
      </c>
      <c r="D6" s="772" t="s">
        <v>1363</v>
      </c>
      <c r="E6" s="772" t="s">
        <v>1378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-10141432.15990366</v>
      </c>
      <c r="D11" s="772" t="s">
        <v>1362</v>
      </c>
      <c r="E11" s="772" t="s">
        <v>1377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1377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1375</v>
      </c>
      <c r="C21" s="762"/>
      <c r="D21" s="772" t="s">
        <v>1376</v>
      </c>
      <c r="E21" s="772" t="s">
        <v>1379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>
        <v>-6326662.1356249824</v>
      </c>
      <c r="D26" s="772" t="s">
        <v>1381</v>
      </c>
      <c r="E26" s="772" t="s">
        <v>1380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5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="96" zoomScaleNormal="100" zoomScaleSheetLayoutView="96" workbookViewId="0">
      <pane xSplit="3" ySplit="4" topLeftCell="D32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9" t="str">
        <f>muni&amp; " - "&amp;S71H&amp; " - "&amp;Head57</f>
        <v>NW385 Ramotshere Moiloa - Supporting Table SC2 Monthly Budget Statement - performance indicators   - M07 January</v>
      </c>
      <c r="B1" s="999"/>
      <c r="C1" s="999"/>
      <c r="D1" s="999"/>
      <c r="E1" s="999"/>
      <c r="F1" s="999"/>
      <c r="G1" s="999"/>
      <c r="H1" s="999"/>
    </row>
    <row r="2" spans="1:11" ht="12.75" x14ac:dyDescent="0.25">
      <c r="A2" s="1004" t="s">
        <v>695</v>
      </c>
      <c r="B2" s="988" t="s">
        <v>924</v>
      </c>
      <c r="C2" s="981" t="str">
        <f>head27</f>
        <v>Ref</v>
      </c>
      <c r="D2" s="139" t="str">
        <f>Head1</f>
        <v>2014/15</v>
      </c>
      <c r="E2" s="246" t="str">
        <f>Head2</f>
        <v>Budget Year 2015/16</v>
      </c>
      <c r="F2" s="230"/>
      <c r="G2" s="230"/>
      <c r="H2" s="231"/>
    </row>
    <row r="3" spans="1:11" ht="25.5" x14ac:dyDescent="0.25">
      <c r="A3" s="1005"/>
      <c r="B3" s="989"/>
      <c r="C3" s="992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7.0710851242387421E-3</v>
      </c>
      <c r="E7" s="283">
        <f>IF(ISERROR((E42+E44)/E45),0,((E42+E44)/E45))</f>
        <v>2.8400856212327651E-2</v>
      </c>
      <c r="F7" s="125">
        <f>IF(ISERROR((F42+F44)/F45),0,((F42+F44)/F45))</f>
        <v>0</v>
      </c>
      <c r="G7" s="125">
        <f>IF(ISERROR((G42+G44)/G45),0,((G42+G44)/G45))</f>
        <v>4.2234268817277505E-3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0</v>
      </c>
      <c r="G10" s="125">
        <f>IF(ISERROR(G48/G49),0,(G48/G49))</f>
        <v>0.52630891073543717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0</v>
      </c>
      <c r="G13" s="125">
        <f>IF(ISERROR(G52/G53),0,(G52/G53))</f>
        <v>0.91817897768631229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</v>
      </c>
      <c r="G14" s="125">
        <f>IF(ISERROR(G54/G53),0,(G54/G53))</f>
        <v>0.17741531788030543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</v>
      </c>
      <c r="G17" s="125">
        <f>IF(ISERROR(G59/G55),0,(G59/G55))</f>
        <v>1.0247813443380522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</v>
      </c>
      <c r="G26" s="125">
        <f>IF(ISERROR(G40/G55),0,(G40/G55))</f>
        <v>0.38753405578513972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0</v>
      </c>
      <c r="G28" s="125">
        <f>IF(ISERROR((G42+G44)/G55),0,((G42+G44)/G55))</f>
        <v>3.3693497085346903E-3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0</v>
      </c>
      <c r="G38" s="98">
        <f>'C6-FinPos'!F38</f>
        <v>52643999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0</v>
      </c>
      <c r="G39" s="98">
        <f>'C6-FinPos'!F26</f>
        <v>811853880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0</v>
      </c>
      <c r="G40" s="98">
        <f>'C4-FinPerf RE'!G26</f>
        <v>64260677.600000001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0</v>
      </c>
      <c r="G42" s="98">
        <f>'C4-FinPerf RE'!G30</f>
        <v>558703.65999999992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0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0</v>
      </c>
      <c r="G45" s="98">
        <f>'C4-FinPerf RE'!G37</f>
        <v>132286807.76200424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105703023.12096</v>
      </c>
      <c r="F46" s="85">
        <f>'C5-Capex'!E40</f>
        <v>0</v>
      </c>
      <c r="G46" s="98">
        <f>'C5-Capex'!G40</f>
        <v>40003744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0</v>
      </c>
      <c r="G48" s="85">
        <f>'C6-FinPos'!F30+'C6-FinPos'!F31+'C6-FinPos'!F33+'C6-FinPos'!F38</f>
        <v>278674342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0</v>
      </c>
      <c r="G49" s="98">
        <f>'C6-FinPos'!F48</f>
        <v>529488170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0</v>
      </c>
      <c r="G51" s="98">
        <f>'C6-FinPos'!F38</f>
        <v>52643999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0</v>
      </c>
      <c r="G52" s="98">
        <f>'C6-FinPos'!F13</f>
        <v>210627132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0</v>
      </c>
      <c r="G53" s="98">
        <f>'C6-FinPos'!F35</f>
        <v>229396596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0</v>
      </c>
      <c r="G54" s="98">
        <f>'C6-FinPos'!F7+'C6-FinPos'!F8</f>
        <v>40698470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0</v>
      </c>
      <c r="G55" s="98">
        <f>'C4-FinPerf RE'!G23</f>
        <v>165819433.52000013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0</v>
      </c>
      <c r="G56" s="98">
        <f>'C4-FinPerf RE'!G20</f>
        <v>104931938.28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0</v>
      </c>
      <c r="G57" s="98">
        <f>'C4-FinPerf RE'!G40</f>
        <v>28316207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1544271</v>
      </c>
      <c r="F58" s="85">
        <f>'C7-CFlow'!E12+'C7-CFlow'!E36</f>
        <v>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0</v>
      </c>
      <c r="G59" s="98">
        <f>'C6-FinPos'!F9+'C6-FinPos'!F10+'C6-FinPos'!F11+'C6-FinPos'!F16</f>
        <v>169928662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0</v>
      </c>
      <c r="G60" s="98">
        <f>SUM('C4-FinPerf RE'!G8:G12)</f>
        <v>39706522.720000051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0</v>
      </c>
      <c r="G61" s="98">
        <f>'C6-FinPos'!F7+'C6-FinPos'!F8+'C6-FinPos'!F17-'C6-FinPos'!F30</f>
        <v>60593827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5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10" activePane="bottomRight" state="frozen"/>
      <selection activeCell="O16" sqref="O16"/>
      <selection pane="topRight" activeCell="O16" sqref="O16"/>
      <selection pane="bottomLeft" activeCell="O16" sqref="O16"/>
      <selection pane="bottomRight" activeCell="F13" sqref="F13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9" t="str">
        <f>muni&amp; " - "&amp;S71I&amp; " - "&amp;Head57</f>
        <v>NW385 Ramotshere Moiloa - Supporting Table SC3 Monthly Budget Statement - aged debtors - M07 January</v>
      </c>
      <c r="B1" s="999"/>
      <c r="C1" s="1006"/>
      <c r="D1" s="1006"/>
      <c r="E1" s="1006"/>
      <c r="F1" s="1006"/>
      <c r="G1" s="1006"/>
      <c r="H1" s="1006"/>
      <c r="I1" s="1006"/>
      <c r="J1" s="1006"/>
      <c r="K1" s="1006"/>
      <c r="L1" s="1006"/>
      <c r="M1" s="1006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7" t="str">
        <f>Head2</f>
        <v>Budget Year 2015/16</v>
      </c>
      <c r="D2" s="1008"/>
      <c r="E2" s="1008"/>
      <c r="F2" s="1008"/>
      <c r="G2" s="1008"/>
      <c r="H2" s="1008"/>
      <c r="I2" s="1008"/>
      <c r="J2" s="1008"/>
      <c r="K2" s="1008"/>
      <c r="L2" s="1008"/>
      <c r="M2" s="1008"/>
      <c r="N2" s="1009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>
        <v>1048785</v>
      </c>
      <c r="D5" s="747">
        <v>484992</v>
      </c>
      <c r="E5" s="747">
        <v>530465</v>
      </c>
      <c r="F5" s="747">
        <v>516278</v>
      </c>
      <c r="G5" s="747">
        <v>474181</v>
      </c>
      <c r="H5" s="747">
        <v>424521</v>
      </c>
      <c r="I5" s="747">
        <v>14874589</v>
      </c>
      <c r="J5" s="758"/>
      <c r="K5" s="135">
        <f>SUM(C5:J5)</f>
        <v>18353811</v>
      </c>
      <c r="L5" s="135">
        <f>SUM(F5:J5)</f>
        <v>16289569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>
        <v>3393127</v>
      </c>
      <c r="D6" s="747">
        <v>1569092</v>
      </c>
      <c r="E6" s="747">
        <v>1716211</v>
      </c>
      <c r="F6" s="747">
        <v>1670312</v>
      </c>
      <c r="G6" s="747">
        <v>1534115</v>
      </c>
      <c r="H6" s="747">
        <v>1373451</v>
      </c>
      <c r="I6" s="747">
        <v>48123669</v>
      </c>
      <c r="J6" s="758"/>
      <c r="K6" s="135">
        <f>SUM(C6:J6)</f>
        <v>59379977</v>
      </c>
      <c r="L6" s="135">
        <f t="shared" ref="L6:L12" si="0">SUM(F6:J6)</f>
        <v>52701547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>
        <v>1295558</v>
      </c>
      <c r="D7" s="747">
        <v>599108</v>
      </c>
      <c r="E7" s="747">
        <v>655280</v>
      </c>
      <c r="F7" s="747">
        <v>637755</v>
      </c>
      <c r="G7" s="747">
        <v>585753</v>
      </c>
      <c r="H7" s="747">
        <v>524408</v>
      </c>
      <c r="I7" s="747">
        <v>18374492</v>
      </c>
      <c r="J7" s="758"/>
      <c r="K7" s="135">
        <f t="shared" ref="K7:K13" si="1">SUM(C7:J7)</f>
        <v>22672354</v>
      </c>
      <c r="L7" s="135">
        <f t="shared" si="0"/>
        <v>20122408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>
        <v>185080</v>
      </c>
      <c r="D8" s="747">
        <v>85587</v>
      </c>
      <c r="E8" s="747">
        <v>93612</v>
      </c>
      <c r="F8" s="747">
        <v>91108</v>
      </c>
      <c r="G8" s="747">
        <v>83679</v>
      </c>
      <c r="H8" s="747">
        <v>74916</v>
      </c>
      <c r="I8" s="747">
        <v>2624927</v>
      </c>
      <c r="J8" s="758"/>
      <c r="K8" s="135">
        <f t="shared" si="1"/>
        <v>3238909</v>
      </c>
      <c r="L8" s="135">
        <f t="shared" si="0"/>
        <v>2874630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>
        <v>246773</v>
      </c>
      <c r="D9" s="747">
        <v>114116</v>
      </c>
      <c r="E9" s="747">
        <v>124815</v>
      </c>
      <c r="F9" s="747">
        <v>121477</v>
      </c>
      <c r="G9" s="747">
        <v>111572</v>
      </c>
      <c r="H9" s="747">
        <v>99887</v>
      </c>
      <c r="I9" s="747">
        <v>3499903</v>
      </c>
      <c r="J9" s="758"/>
      <c r="K9" s="135">
        <f t="shared" si="1"/>
        <v>4318543</v>
      </c>
      <c r="L9" s="135">
        <f>SUM(F9:J9)</f>
        <v>3832839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6169323</v>
      </c>
      <c r="D14" s="56">
        <f t="shared" si="2"/>
        <v>2852895</v>
      </c>
      <c r="E14" s="56">
        <f t="shared" si="2"/>
        <v>3120383</v>
      </c>
      <c r="F14" s="56">
        <f t="shared" si="2"/>
        <v>3036930</v>
      </c>
      <c r="G14" s="56">
        <f t="shared" si="2"/>
        <v>2789300</v>
      </c>
      <c r="H14" s="56">
        <f t="shared" si="2"/>
        <v>2497183</v>
      </c>
      <c r="I14" s="56">
        <f t="shared" si="2"/>
        <v>87497580</v>
      </c>
      <c r="J14" s="84">
        <f t="shared" si="2"/>
        <v>0</v>
      </c>
      <c r="K14" s="113">
        <f t="shared" si="2"/>
        <v>107963594</v>
      </c>
      <c r="L14" s="113">
        <f>SUM(L5:L13)</f>
        <v>95820993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2014/15 -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>
        <v>284453</v>
      </c>
      <c r="D17" s="747">
        <v>-868755</v>
      </c>
      <c r="E17" s="747">
        <v>96601</v>
      </c>
      <c r="F17" s="747">
        <v>136220</v>
      </c>
      <c r="G17" s="747">
        <v>116717</v>
      </c>
      <c r="H17" s="747">
        <v>83873</v>
      </c>
      <c r="I17" s="747">
        <v>7256570</v>
      </c>
      <c r="J17" s="758"/>
      <c r="K17" s="135">
        <f>SUM(C17:J17)</f>
        <v>7105679</v>
      </c>
      <c r="L17" s="655">
        <f>SUM(F17:J17)</f>
        <v>7593380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>
        <v>2442192</v>
      </c>
      <c r="D18" s="747">
        <v>936663</v>
      </c>
      <c r="E18" s="747">
        <v>608083</v>
      </c>
      <c r="F18" s="747">
        <v>441882</v>
      </c>
      <c r="G18" s="747">
        <v>304102</v>
      </c>
      <c r="H18" s="747">
        <v>267483</v>
      </c>
      <c r="I18" s="747">
        <v>6379392</v>
      </c>
      <c r="J18" s="758"/>
      <c r="K18" s="135">
        <f>SUM(C18:J18)</f>
        <v>11379797</v>
      </c>
      <c r="L18" s="655">
        <f>SUM(F18:J18)</f>
        <v>7392859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>
        <v>2863885</v>
      </c>
      <c r="D19" s="747">
        <v>2233829</v>
      </c>
      <c r="E19" s="747">
        <v>2121605</v>
      </c>
      <c r="F19" s="747">
        <v>1932401</v>
      </c>
      <c r="G19" s="747">
        <v>1850602</v>
      </c>
      <c r="H19" s="747">
        <v>1641814</v>
      </c>
      <c r="I19" s="747">
        <v>67384900</v>
      </c>
      <c r="J19" s="758"/>
      <c r="K19" s="135">
        <f>SUM(C19:J19)</f>
        <v>80029036</v>
      </c>
      <c r="L19" s="655">
        <f>SUM(F19:J19)</f>
        <v>72809717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578793</v>
      </c>
      <c r="D20" s="747">
        <v>551158</v>
      </c>
      <c r="E20" s="747">
        <v>294094</v>
      </c>
      <c r="F20" s="747">
        <v>526427</v>
      </c>
      <c r="G20" s="747">
        <v>517879</v>
      </c>
      <c r="H20" s="747">
        <v>504013</v>
      </c>
      <c r="I20" s="747">
        <v>6476718</v>
      </c>
      <c r="J20" s="758"/>
      <c r="K20" s="135">
        <f>SUM(C20:J20)</f>
        <v>9449082</v>
      </c>
      <c r="L20" s="655">
        <f>SUM(F20:J20)</f>
        <v>8025037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6169323</v>
      </c>
      <c r="D21" s="56">
        <f t="shared" si="3"/>
        <v>2852895</v>
      </c>
      <c r="E21" s="56">
        <f t="shared" si="3"/>
        <v>3120383</v>
      </c>
      <c r="F21" s="56">
        <f t="shared" si="3"/>
        <v>3036930</v>
      </c>
      <c r="G21" s="56">
        <f t="shared" si="3"/>
        <v>2789300</v>
      </c>
      <c r="H21" s="56">
        <f t="shared" si="3"/>
        <v>2497183</v>
      </c>
      <c r="I21" s="56">
        <f t="shared" si="3"/>
        <v>87497580</v>
      </c>
      <c r="J21" s="84">
        <f>SUM(J17:J20)</f>
        <v>0</v>
      </c>
      <c r="K21" s="113">
        <f>SUM(K17:K20)</f>
        <v>107963594</v>
      </c>
      <c r="L21" s="942">
        <f>SUM(L17:L20)</f>
        <v>95820993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5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topLeftCell="A10" zoomScaleNormal="100" zoomScaleSheetLayoutView="100" workbookViewId="0">
      <selection activeCell="O16" sqref="O16"/>
    </sheetView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7</v>
      </c>
    </row>
    <row r="11" spans="4:25" x14ac:dyDescent="0.2">
      <c r="W11" s="656" t="s">
        <v>1026</v>
      </c>
      <c r="X11" s="714" t="str">
        <f>VLOOKUP(X10,W39:X55,2)</f>
        <v>M07 January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8</v>
      </c>
    </row>
    <row r="36" spans="22:25" x14ac:dyDescent="0.2">
      <c r="X36" s="694">
        <f>INDEX(X19:X33,X35,1)</f>
        <v>2015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2015/16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5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58" r:id="rId4" name="TextBox3">
          <controlPr defaultSize="0" autoLine="0" autoPict="0" linkedCell="Contacts!B61" r:id="rId5">
            <anchor moveWithCells="1">
              <from>
                <xdr:col>2</xdr:col>
                <xdr:colOff>161925</xdr:colOff>
                <xdr:row>3</xdr:row>
                <xdr:rowOff>9525</xdr:rowOff>
              </from>
              <to>
                <xdr:col>4</xdr:col>
                <xdr:colOff>504825</xdr:colOff>
                <xdr:row>3</xdr:row>
                <xdr:rowOff>114300</xdr:rowOff>
              </to>
            </anchor>
          </controlPr>
        </control>
      </mc:Choice>
      <mc:Fallback>
        <control shapeId="142358" r:id="rId4" name="TextBox3"/>
      </mc:Fallback>
    </mc:AlternateContent>
    <mc:AlternateContent xmlns:mc="http://schemas.openxmlformats.org/markup-compatibility/2006">
      <mc:Choice Requires="x14">
        <control shapeId="142359" r:id="rId6" name="TextBox4">
          <controlPr defaultSize="0" autoLine="0" autoPict="0" linkedCell="Contacts!B62" r:id="rId7">
            <anchor moveWithCells="1">
              <from>
                <xdr:col>2</xdr:col>
                <xdr:colOff>161925</xdr:colOff>
                <xdr:row>4</xdr:row>
                <xdr:rowOff>9525</xdr:rowOff>
              </from>
              <to>
                <xdr:col>3</xdr:col>
                <xdr:colOff>209550</xdr:colOff>
                <xdr:row>4</xdr:row>
                <xdr:rowOff>114300</xdr:rowOff>
              </to>
            </anchor>
          </controlPr>
        </control>
      </mc:Choice>
      <mc:Fallback>
        <control shapeId="142359" r:id="rId6" name="TextBox4"/>
      </mc:Fallback>
    </mc:AlternateContent>
    <mc:AlternateContent xmlns:mc="http://schemas.openxmlformats.org/markup-compatibility/2006">
      <mc:Choice Requires="x14">
        <control shapeId="142360" r:id="rId8" name="TextBox5">
          <controlPr defaultSize="0" autoLine="0" autoPict="0" linkedCell="Contacts!B65" r:id="rId9">
            <anchor moveWithCells="1">
              <from>
                <xdr:col>2</xdr:col>
                <xdr:colOff>161925</xdr:colOff>
                <xdr:row>5</xdr:row>
                <xdr:rowOff>19050</xdr:rowOff>
              </from>
              <to>
                <xdr:col>4</xdr:col>
                <xdr:colOff>504825</xdr:colOff>
                <xdr:row>5</xdr:row>
                <xdr:rowOff>123825</xdr:rowOff>
              </to>
            </anchor>
          </controlPr>
        </control>
      </mc:Choice>
      <mc:Fallback>
        <control shapeId="142360" r:id="rId8" name="TextBox5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autoPict="0" linkedCell="Contacts!B64" r:id="rId11">
            <anchor moveWithCells="1">
              <from>
                <xdr:col>3</xdr:col>
                <xdr:colOff>514350</xdr:colOff>
                <xdr:row>4</xdr:row>
                <xdr:rowOff>19050</xdr:rowOff>
              </from>
              <to>
                <xdr:col>4</xdr:col>
                <xdr:colOff>504825</xdr:colOff>
                <xdr:row>4</xdr:row>
                <xdr:rowOff>123825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2" r:id="rId12" name="ToggleReferenceColumns">
          <controlPr defaultSize="0" autoLine="0" autoPict="0" r:id="rId13">
            <anchor moveWithCells="1">
              <from>
                <xdr:col>0</xdr:col>
                <xdr:colOff>323850</xdr:colOff>
                <xdr:row>14</xdr:row>
                <xdr:rowOff>152400</xdr:rowOff>
              </from>
              <to>
                <xdr:col>2</xdr:col>
                <xdr:colOff>123825</xdr:colOff>
                <xdr:row>15</xdr:row>
                <xdr:rowOff>123825</xdr:rowOff>
              </to>
            </anchor>
          </controlPr>
        </control>
      </mc:Choice>
      <mc:Fallback>
        <control shapeId="142362" r:id="rId12" name="ToggleReferenceColumns"/>
      </mc:Fallback>
    </mc:AlternateContent>
    <mc:AlternateContent xmlns:mc="http://schemas.openxmlformats.org/markup-compatibility/2006">
      <mc:Choice Requires="x14">
        <control shapeId="142363" r:id="rId14" name="TogglePreAuditColums">
          <controlPr defaultSize="0" autoLine="0" autoPict="0" r:id="rId15">
            <anchor moveWithCells="1">
              <from>
                <xdr:col>0</xdr:col>
                <xdr:colOff>323850</xdr:colOff>
                <xdr:row>16</xdr:row>
                <xdr:rowOff>0</xdr:rowOff>
              </from>
              <to>
                <xdr:col>2</xdr:col>
                <xdr:colOff>123825</xdr:colOff>
                <xdr:row>16</xdr:row>
                <xdr:rowOff>133350</xdr:rowOff>
              </to>
            </anchor>
          </controlPr>
        </control>
      </mc:Choice>
      <mc:Fallback>
        <control shapeId="142363" r:id="rId14" name="TogglePreAuditColums"/>
      </mc:Fallback>
    </mc:AlternateContent>
    <mc:AlternateContent xmlns:mc="http://schemas.openxmlformats.org/markup-compatibility/2006">
      <mc:Choice Requires="x14">
        <control shapeId="142364" r:id="rId16" name="ToggleHiddenColumns">
          <controlPr defaultSize="0" autoLine="0" autoPict="0" r:id="rId17">
            <anchor moveWithCells="1">
              <from>
                <xdr:col>0</xdr:col>
                <xdr:colOff>323850</xdr:colOff>
                <xdr:row>18</xdr:row>
                <xdr:rowOff>0</xdr:rowOff>
              </from>
              <to>
                <xdr:col>2</xdr:col>
                <xdr:colOff>123825</xdr:colOff>
                <xdr:row>18</xdr:row>
                <xdr:rowOff>133350</xdr:rowOff>
              </to>
            </anchor>
          </controlPr>
        </control>
      </mc:Choice>
      <mc:Fallback>
        <control shapeId="142364" r:id="rId16" name="ToggleHiddenColumns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4</xdr:col>
                <xdr:colOff>9525</xdr:colOff>
                <xdr:row>15</xdr:row>
                <xdr:rowOff>9525</xdr:rowOff>
              </from>
              <to>
                <xdr:col>5</xdr:col>
                <xdr:colOff>66675</xdr:colOff>
                <xdr:row>16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4</xdr:col>
                <xdr:colOff>9525</xdr:colOff>
                <xdr:row>17</xdr:row>
                <xdr:rowOff>0</xdr:rowOff>
              </from>
              <to>
                <xdr:col>5</xdr:col>
                <xdr:colOff>600075</xdr:colOff>
                <xdr:row>18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4</xdr:col>
                <xdr:colOff>9525</xdr:colOff>
                <xdr:row>13</xdr:row>
                <xdr:rowOff>0</xdr:rowOff>
              </from>
              <to>
                <xdr:col>5</xdr:col>
                <xdr:colOff>333375</xdr:colOff>
                <xdr:row>14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4</xdr:col>
                <xdr:colOff>19050</xdr:colOff>
                <xdr:row>3</xdr:row>
                <xdr:rowOff>76200</xdr:rowOff>
              </from>
              <to>
                <xdr:col>8</xdr:col>
                <xdr:colOff>333375</xdr:colOff>
                <xdr:row>4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4</xdr:col>
                <xdr:colOff>9525</xdr:colOff>
                <xdr:row>11</xdr:row>
                <xdr:rowOff>19050</xdr:rowOff>
              </from>
              <to>
                <xdr:col>5</xdr:col>
                <xdr:colOff>333375</xdr:colOff>
                <xdr:row>12</xdr:row>
                <xdr:rowOff>47625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Normal="100" zoomScaleSheetLayoutView="100" workbookViewId="0">
      <pane xSplit="2" ySplit="4" topLeftCell="C5" activePane="bottomRight" state="frozen"/>
      <selection activeCell="O16" sqref="O16"/>
      <selection pane="topRight" activeCell="O16" sqref="O16"/>
      <selection pane="bottomLeft" activeCell="O16" sqref="O16"/>
      <selection pane="bottomRight" activeCell="I13" sqref="I13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9" t="str">
        <f>muni&amp; " - "&amp;S71J&amp; " - "&amp;Head57</f>
        <v>NW385 Ramotshere Moiloa - Supporting Table SC4 Monthly Budget Statement - aged creditors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2" ht="12.75" customHeight="1" x14ac:dyDescent="0.25">
      <c r="A2" s="988" t="str">
        <f>desc</f>
        <v>Description</v>
      </c>
      <c r="B2" s="1010" t="s">
        <v>883</v>
      </c>
      <c r="C2" s="138" t="str">
        <f>Head2</f>
        <v>Budget Year 2015/16</v>
      </c>
      <c r="D2" s="138"/>
      <c r="E2" s="138"/>
      <c r="F2" s="138"/>
      <c r="G2" s="138"/>
      <c r="H2" s="138"/>
      <c r="I2" s="138"/>
      <c r="J2" s="138"/>
      <c r="K2" s="139"/>
      <c r="L2" s="1017" t="s">
        <v>84</v>
      </c>
    </row>
    <row r="3" spans="1:12" ht="12.75" customHeight="1" x14ac:dyDescent="0.25">
      <c r="A3" s="1023"/>
      <c r="B3" s="1011"/>
      <c r="C3" s="1013" t="s">
        <v>875</v>
      </c>
      <c r="D3" s="1015" t="s">
        <v>876</v>
      </c>
      <c r="E3" s="1015" t="s">
        <v>877</v>
      </c>
      <c r="F3" s="1015" t="s">
        <v>878</v>
      </c>
      <c r="G3" s="1015" t="s">
        <v>879</v>
      </c>
      <c r="H3" s="1015" t="s">
        <v>880</v>
      </c>
      <c r="I3" s="1015" t="s">
        <v>881</v>
      </c>
      <c r="J3" s="1020" t="s">
        <v>882</v>
      </c>
      <c r="K3" s="1022" t="s">
        <v>631</v>
      </c>
      <c r="L3" s="1018"/>
    </row>
    <row r="4" spans="1:12" ht="12.75" customHeight="1" x14ac:dyDescent="0.25">
      <c r="A4" s="35" t="s">
        <v>814</v>
      </c>
      <c r="B4" s="1012"/>
      <c r="C4" s="1014"/>
      <c r="D4" s="1016"/>
      <c r="E4" s="1016"/>
      <c r="F4" s="1016"/>
      <c r="G4" s="1016"/>
      <c r="H4" s="1016"/>
      <c r="I4" s="1016"/>
      <c r="J4" s="1021"/>
      <c r="K4" s="1012"/>
      <c r="L4" s="1019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3355963</v>
      </c>
      <c r="D6" s="747">
        <v>3395926</v>
      </c>
      <c r="E6" s="747">
        <v>3442949</v>
      </c>
      <c r="F6" s="747">
        <v>3177000</v>
      </c>
      <c r="G6" s="747">
        <v>1321839</v>
      </c>
      <c r="H6" s="747">
        <v>0</v>
      </c>
      <c r="I6" s="747">
        <v>0</v>
      </c>
      <c r="J6" s="749"/>
      <c r="K6" s="110">
        <f>SUM(C6:J6)</f>
        <v>14693677</v>
      </c>
      <c r="L6" s="762"/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/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/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/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/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/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>
        <v>0</v>
      </c>
      <c r="D13" s="747">
        <v>0</v>
      </c>
      <c r="E13" s="747">
        <v>0</v>
      </c>
      <c r="F13" s="747">
        <v>0</v>
      </c>
      <c r="G13" s="747">
        <v>0</v>
      </c>
      <c r="H13" s="747">
        <v>0</v>
      </c>
      <c r="I13" s="747">
        <v>0</v>
      </c>
      <c r="J13" s="749"/>
      <c r="K13" s="110">
        <f t="shared" si="0"/>
        <v>0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3562129</v>
      </c>
      <c r="D14" s="747">
        <v>291073</v>
      </c>
      <c r="E14" s="747">
        <v>-130574</v>
      </c>
      <c r="F14" s="747">
        <v>40882</v>
      </c>
      <c r="G14" s="747">
        <v>-254</v>
      </c>
      <c r="H14" s="747">
        <v>29797</v>
      </c>
      <c r="I14" s="747">
        <v>421186</v>
      </c>
      <c r="J14" s="749"/>
      <c r="K14" s="110">
        <f>SUM(C14:J14)</f>
        <v>4214239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6918092</v>
      </c>
      <c r="D15" s="56">
        <f t="shared" si="1"/>
        <v>3686999</v>
      </c>
      <c r="E15" s="56">
        <f t="shared" si="1"/>
        <v>3312375</v>
      </c>
      <c r="F15" s="56">
        <f t="shared" si="1"/>
        <v>3217882</v>
      </c>
      <c r="G15" s="56">
        <f t="shared" si="1"/>
        <v>1321585</v>
      </c>
      <c r="H15" s="56">
        <f t="shared" si="1"/>
        <v>29797</v>
      </c>
      <c r="I15" s="56">
        <f t="shared" si="1"/>
        <v>421186</v>
      </c>
      <c r="J15" s="236">
        <f t="shared" ref="J15" si="2">SUM(J6:J14)</f>
        <v>0</v>
      </c>
      <c r="K15" s="113">
        <f>SUM(K6:K14)</f>
        <v>18907916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</mergeCells>
  <phoneticPr fontId="5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activeCell="O16" sqref="O16"/>
      <selection pane="topRight" activeCell="O16" sqref="O16"/>
      <selection pane="bottomLeft" activeCell="O16" sqref="O16"/>
      <selection pane="bottomRight" activeCell="F16" sqref="F16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9" t="str">
        <f>muni&amp; " - "&amp;S71K&amp; " - "&amp;Head57</f>
        <v>NW385 Ramotshere Moiloa - Supporting Table SC5 Monthly Budget Statement - investment portfolio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68"/>
    </row>
    <row r="2" spans="1:11" ht="54" customHeight="1" x14ac:dyDescent="0.25">
      <c r="A2" s="271" t="s">
        <v>1059</v>
      </c>
      <c r="B2" s="1010" t="s">
        <v>712</v>
      </c>
      <c r="C2" s="26" t="s">
        <v>139</v>
      </c>
      <c r="D2" s="1024" t="s">
        <v>752</v>
      </c>
      <c r="E2" s="1024" t="s">
        <v>753</v>
      </c>
      <c r="F2" s="1024" t="s">
        <v>675</v>
      </c>
      <c r="G2" s="1024" t="s">
        <v>69</v>
      </c>
      <c r="H2" s="1024" t="s">
        <v>676</v>
      </c>
      <c r="I2" s="1024" t="s">
        <v>1054</v>
      </c>
      <c r="J2" s="1026" t="s">
        <v>1055</v>
      </c>
      <c r="K2" s="285" t="s">
        <v>630</v>
      </c>
    </row>
    <row r="3" spans="1:11" ht="12.75" customHeight="1" x14ac:dyDescent="0.25">
      <c r="A3" s="35" t="s">
        <v>814</v>
      </c>
      <c r="B3" s="1012"/>
      <c r="C3" s="416" t="s">
        <v>140</v>
      </c>
      <c r="D3" s="1025"/>
      <c r="E3" s="1025"/>
      <c r="F3" s="1025"/>
      <c r="G3" s="1025"/>
      <c r="H3" s="1025"/>
      <c r="I3" s="1025"/>
      <c r="J3" s="1027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1364</v>
      </c>
      <c r="B5" s="170"/>
      <c r="C5" s="759" t="s">
        <v>1368</v>
      </c>
      <c r="D5" s="747" t="s">
        <v>1369</v>
      </c>
      <c r="E5" s="747">
        <v>42185</v>
      </c>
      <c r="F5" s="747">
        <v>71013.7</v>
      </c>
      <c r="G5" s="777">
        <v>6.08E-2</v>
      </c>
      <c r="H5" s="747">
        <v>33613883</v>
      </c>
      <c r="I5" s="747">
        <v>-26743218</v>
      </c>
      <c r="J5" s="749">
        <f>1289680+5547370+33615</f>
        <v>6870665</v>
      </c>
    </row>
    <row r="6" spans="1:11" ht="12.75" customHeight="1" x14ac:dyDescent="0.25">
      <c r="A6" s="790" t="s">
        <v>1365</v>
      </c>
      <c r="B6" s="170"/>
      <c r="C6" s="759" t="s">
        <v>1370</v>
      </c>
      <c r="D6" s="747" t="s">
        <v>1371</v>
      </c>
      <c r="E6" s="747">
        <v>42034</v>
      </c>
      <c r="F6" s="747">
        <v>7.38</v>
      </c>
      <c r="G6" s="777"/>
      <c r="H6" s="747">
        <v>1492</v>
      </c>
      <c r="I6" s="747">
        <v>1</v>
      </c>
      <c r="J6" s="749">
        <v>1493</v>
      </c>
    </row>
    <row r="7" spans="1:11" ht="12.75" customHeight="1" x14ac:dyDescent="0.25">
      <c r="A7" s="790" t="s">
        <v>1366</v>
      </c>
      <c r="B7" s="170"/>
      <c r="C7" s="759" t="s">
        <v>1372</v>
      </c>
      <c r="D7" s="747" t="s">
        <v>1369</v>
      </c>
      <c r="E7" s="747">
        <v>42034</v>
      </c>
      <c r="F7" s="747">
        <f>7019+10088+9885+9856</f>
        <v>36848</v>
      </c>
      <c r="G7" s="777">
        <v>0.25</v>
      </c>
      <c r="H7" s="747">
        <v>1972401</v>
      </c>
      <c r="I7" s="747">
        <v>36848</v>
      </c>
      <c r="J7" s="749">
        <v>2009249</v>
      </c>
    </row>
    <row r="8" spans="1:11" ht="12.75" customHeight="1" x14ac:dyDescent="0.25">
      <c r="A8" s="790" t="s">
        <v>1367</v>
      </c>
      <c r="B8" s="170"/>
      <c r="C8" s="759" t="s">
        <v>1373</v>
      </c>
      <c r="D8" s="747" t="s">
        <v>1371</v>
      </c>
      <c r="E8" s="747">
        <v>42176</v>
      </c>
      <c r="F8" s="747">
        <v>6182</v>
      </c>
      <c r="G8" s="777">
        <v>8.0000000000000004E-4</v>
      </c>
      <c r="H8" s="747">
        <v>21393</v>
      </c>
      <c r="I8" s="747">
        <v>0</v>
      </c>
      <c r="J8" s="749">
        <v>21393</v>
      </c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114051.08</v>
      </c>
      <c r="G12" s="559"/>
      <c r="H12" s="618">
        <f>SUM(H5:H11)</f>
        <v>35609169</v>
      </c>
      <c r="I12" s="618">
        <f>SUM(I5:I11)</f>
        <v>-26706369</v>
      </c>
      <c r="J12" s="620">
        <f>SUM(J5:J11)</f>
        <v>8902800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114051.08</v>
      </c>
      <c r="G24" s="727"/>
      <c r="H24" s="56">
        <f>H12+H22</f>
        <v>35609169</v>
      </c>
      <c r="I24" s="56">
        <f>I12+I22</f>
        <v>-26706369</v>
      </c>
      <c r="J24" s="236">
        <f>J12+J22</f>
        <v>8902800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5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62" activePane="bottomRight" state="frozen"/>
      <selection activeCell="O16" sqref="O16"/>
      <selection pane="topRight" activeCell="O16" sqref="O16"/>
      <selection pane="bottomLeft" activeCell="O16" sqref="O16"/>
      <selection pane="bottomRight" activeCell="H13" sqref="H13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"&amp;S71L&amp; " - "&amp;Head57</f>
        <v>NW385 Ramotshere Moiloa - Supporting Table SC6 Monthly Budget Statement - transfers and grant receipts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0</v>
      </c>
      <c r="F8" s="51">
        <f t="shared" si="0"/>
        <v>0</v>
      </c>
      <c r="G8" s="51">
        <f t="shared" si="0"/>
        <v>57053443</v>
      </c>
      <c r="H8" s="51">
        <f t="shared" si="0"/>
        <v>46510333.333333328</v>
      </c>
      <c r="I8" s="51">
        <f t="shared" si="0"/>
        <v>10618333.333333336</v>
      </c>
      <c r="J8" s="346">
        <f t="shared" ref="J8:J38" si="1">IF(I8=0,"",I8/H8)</f>
        <v>0.22830052103116877</v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/>
      <c r="F9" s="748"/>
      <c r="G9" s="748">
        <v>53090000</v>
      </c>
      <c r="H9" s="747">
        <v>42471666.666666664</v>
      </c>
      <c r="I9" s="517">
        <f t="shared" ref="I9:I19" si="2">G9-H9</f>
        <v>10618333.333333336</v>
      </c>
      <c r="J9" s="561">
        <f t="shared" si="1"/>
        <v>0.25000981046187659</v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/>
      <c r="F10" s="747"/>
      <c r="G10" s="747">
        <v>930000</v>
      </c>
      <c r="H10" s="747">
        <v>310000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/>
      <c r="F11" s="747"/>
      <c r="G11" s="747">
        <v>1675000</v>
      </c>
      <c r="H11" s="747">
        <v>558333.33333333337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/>
      <c r="F12" s="747"/>
      <c r="G12" s="747">
        <v>1297725</v>
      </c>
      <c r="H12" s="747">
        <v>428666.66666666669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/>
      <c r="F13" s="747"/>
      <c r="G13" s="747">
        <v>60718</v>
      </c>
      <c r="H13" s="747">
        <v>2741666.6666666665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0</v>
      </c>
      <c r="F20" s="433">
        <f t="shared" si="3"/>
        <v>0</v>
      </c>
      <c r="G20" s="433">
        <f t="shared" si="3"/>
        <v>0</v>
      </c>
      <c r="H20" s="433">
        <f t="shared" si="3"/>
        <v>333333.33333333331</v>
      </c>
      <c r="I20" s="433">
        <f t="shared" si="3"/>
        <v>-333333.33333333331</v>
      </c>
      <c r="J20" s="562">
        <f t="shared" si="1"/>
        <v>-1</v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/>
      <c r="F21" s="748"/>
      <c r="G21" s="748"/>
      <c r="H21" s="748">
        <v>333333.33333333331</v>
      </c>
      <c r="I21" s="517">
        <f t="shared" ref="I21:I37" si="4">G21-H21</f>
        <v>-333333.33333333331</v>
      </c>
      <c r="J21" s="561">
        <f t="shared" si="1"/>
        <v>-1</v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3000000</v>
      </c>
      <c r="H27" s="433">
        <f t="shared" si="5"/>
        <v>0</v>
      </c>
      <c r="I27" s="517">
        <f t="shared" si="4"/>
        <v>3000000</v>
      </c>
      <c r="J27" s="561" t="e">
        <f t="shared" si="1"/>
        <v>#DIV/0!</v>
      </c>
      <c r="K27" s="516">
        <f>SUM(K28:K29)</f>
        <v>0</v>
      </c>
    </row>
    <row r="28" spans="1:11" ht="12.75" customHeight="1" x14ac:dyDescent="0.25">
      <c r="A28" s="795" t="s">
        <v>1374</v>
      </c>
      <c r="B28" s="170"/>
      <c r="C28" s="797"/>
      <c r="D28" s="798"/>
      <c r="E28" s="751"/>
      <c r="F28" s="751"/>
      <c r="G28" s="751">
        <v>3000000</v>
      </c>
      <c r="H28" s="751">
        <f>D28/4</f>
        <v>0</v>
      </c>
      <c r="I28" s="517">
        <f t="shared" si="4"/>
        <v>3000000</v>
      </c>
      <c r="J28" s="561" t="e">
        <f t="shared" si="1"/>
        <v>#DIV/0!</v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140531000</v>
      </c>
      <c r="E38" s="74">
        <f t="shared" si="7"/>
        <v>0</v>
      </c>
      <c r="F38" s="74">
        <f t="shared" si="7"/>
        <v>0</v>
      </c>
      <c r="G38" s="74">
        <f t="shared" si="7"/>
        <v>60053443</v>
      </c>
      <c r="H38" s="74">
        <f t="shared" si="7"/>
        <v>46843666.666666664</v>
      </c>
      <c r="I38" s="74">
        <f t="shared" si="7"/>
        <v>13285000.000000002</v>
      </c>
      <c r="J38" s="307">
        <f t="shared" si="1"/>
        <v>0.28360290612035782</v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35982000</v>
      </c>
      <c r="E41" s="45">
        <f t="shared" si="8"/>
        <v>0</v>
      </c>
      <c r="F41" s="45">
        <f t="shared" si="8"/>
        <v>0</v>
      </c>
      <c r="G41" s="45">
        <f t="shared" si="8"/>
        <v>5911000</v>
      </c>
      <c r="H41" s="45">
        <f t="shared" si="8"/>
        <v>11994000</v>
      </c>
      <c r="I41" s="45">
        <f t="shared" si="8"/>
        <v>-6083000</v>
      </c>
      <c r="J41" s="346">
        <f t="shared" ref="J41:J71" si="9">IF(I41=0,"",I41/H41)</f>
        <v>-0.50717025179256292</v>
      </c>
      <c r="K41" s="145">
        <f t="shared" si="8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/>
      <c r="F42" s="748"/>
      <c r="G42" s="748">
        <v>5911000</v>
      </c>
      <c r="H42" s="748">
        <v>11994000</v>
      </c>
      <c r="I42" s="517">
        <f t="shared" ref="I42:I51" si="10">G42-H42</f>
        <v>-6083000</v>
      </c>
      <c r="J42" s="561">
        <f t="shared" si="9"/>
        <v>-0.50717025179256292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15000000</v>
      </c>
      <c r="E62" s="433">
        <f t="shared" si="14"/>
        <v>0</v>
      </c>
      <c r="F62" s="433">
        <f t="shared" si="14"/>
        <v>0</v>
      </c>
      <c r="G62" s="433">
        <f t="shared" si="14"/>
        <v>8000000</v>
      </c>
      <c r="H62" s="433">
        <f t="shared" si="14"/>
        <v>5000000</v>
      </c>
      <c r="I62" s="517">
        <f t="shared" si="12"/>
        <v>3000000</v>
      </c>
      <c r="J62" s="561">
        <f t="shared" si="9"/>
        <v>0.6</v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/>
      <c r="F63" s="751"/>
      <c r="G63" s="751">
        <v>8000000</v>
      </c>
      <c r="H63" s="751">
        <v>5000000</v>
      </c>
      <c r="I63" s="517">
        <f t="shared" si="12"/>
        <v>3000000</v>
      </c>
      <c r="J63" s="561">
        <f>IF(I63=0,"",I63/H63)</f>
        <v>0.6</v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1383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50982000</v>
      </c>
      <c r="E69" s="433">
        <f t="shared" si="15"/>
        <v>0</v>
      </c>
      <c r="F69" s="433">
        <f t="shared" si="15"/>
        <v>0</v>
      </c>
      <c r="G69" s="433">
        <f t="shared" si="15"/>
        <v>13911000</v>
      </c>
      <c r="H69" s="433">
        <f t="shared" si="15"/>
        <v>16994000</v>
      </c>
      <c r="I69" s="433">
        <f t="shared" si="15"/>
        <v>-3083000</v>
      </c>
      <c r="J69" s="562">
        <f t="shared" si="9"/>
        <v>-0.18141697069553961</v>
      </c>
      <c r="K69" s="516">
        <f t="shared" si="15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191513000</v>
      </c>
      <c r="E71" s="309">
        <f t="shared" si="16"/>
        <v>0</v>
      </c>
      <c r="F71" s="309">
        <f t="shared" si="16"/>
        <v>0</v>
      </c>
      <c r="G71" s="309">
        <f t="shared" si="16"/>
        <v>73964443</v>
      </c>
      <c r="H71" s="309">
        <f t="shared" si="16"/>
        <v>63837666.666666664</v>
      </c>
      <c r="I71" s="309">
        <f t="shared" si="16"/>
        <v>10202000.000000002</v>
      </c>
      <c r="J71" s="310">
        <f t="shared" si="9"/>
        <v>0.15981160547847931</v>
      </c>
      <c r="K71" s="311">
        <f t="shared" si="16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dataValidations disablePrompts="1"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38" activePane="bottomRight" state="frozen"/>
      <selection activeCell="O16" sqref="O16"/>
      <selection pane="topRight" activeCell="O16" sqref="O16"/>
      <selection pane="bottomLeft" activeCell="O16" sqref="O16"/>
      <selection pane="bottomRight" activeCell="H45" sqref="H45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"&amp;S71M&amp; " - "&amp;Head57</f>
        <v>NW385 Ramotshere Moiloa - Supporting Table SC7(1) Monthly Budget Statement - transfers and grant expenditure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0</v>
      </c>
      <c r="F8" s="51">
        <f t="shared" si="0"/>
        <v>334618</v>
      </c>
      <c r="G8" s="51">
        <f t="shared" si="0"/>
        <v>130326935</v>
      </c>
      <c r="H8" s="51">
        <f t="shared" si="0"/>
        <v>46510333.333333328</v>
      </c>
      <c r="I8" s="51">
        <f t="shared" si="0"/>
        <v>83816601.666666672</v>
      </c>
      <c r="J8" s="346">
        <f t="shared" ref="J8:J28" si="1">IF(I8=0,"",I8/H8)</f>
        <v>1.8021070944807966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/>
      <c r="F9" s="748"/>
      <c r="G9" s="748">
        <f>D9</f>
        <v>127415000</v>
      </c>
      <c r="H9" s="747">
        <v>42471666.666666664</v>
      </c>
      <c r="I9" s="517">
        <f t="shared" ref="I9:I15" si="2">G9-H9</f>
        <v>84943333.333333343</v>
      </c>
      <c r="J9" s="561">
        <f t="shared" si="1"/>
        <v>2.0000000000000004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/>
      <c r="F10" s="747"/>
      <c r="G10" s="747">
        <v>72479</v>
      </c>
      <c r="H10" s="747">
        <v>310000</v>
      </c>
      <c r="I10" s="45">
        <f t="shared" si="2"/>
        <v>-237521</v>
      </c>
      <c r="J10" s="125">
        <f t="shared" si="1"/>
        <v>-0.76619677419354837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/>
      <c r="F11" s="747">
        <v>81668</v>
      </c>
      <c r="G11" s="747">
        <v>700346</v>
      </c>
      <c r="H11" s="747">
        <v>558333.33333333337</v>
      </c>
      <c r="I11" s="45">
        <f t="shared" si="2"/>
        <v>142012.66666666663</v>
      </c>
      <c r="J11" s="125">
        <f t="shared" si="1"/>
        <v>0.25435104477611931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/>
      <c r="F12" s="747">
        <v>252950</v>
      </c>
      <c r="G12" s="747">
        <v>2139110</v>
      </c>
      <c r="H12" s="747">
        <v>428666.66666666669</v>
      </c>
      <c r="I12" s="45">
        <f t="shared" si="2"/>
        <v>1710443.3333333333</v>
      </c>
      <c r="J12" s="125">
        <f t="shared" si="1"/>
        <v>3.9901477449455673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/>
      <c r="F13" s="747"/>
      <c r="G13" s="747"/>
      <c r="H13" s="747">
        <v>2741666.6666666665</v>
      </c>
      <c r="I13" s="45">
        <f t="shared" si="2"/>
        <v>-2741666.6666666665</v>
      </c>
      <c r="J13" s="125">
        <f t="shared" si="1"/>
        <v>-1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0</v>
      </c>
      <c r="F16" s="433">
        <f t="shared" si="3"/>
        <v>62784.97</v>
      </c>
      <c r="G16" s="433">
        <f t="shared" si="3"/>
        <v>605081.78</v>
      </c>
      <c r="H16" s="433">
        <f t="shared" si="3"/>
        <v>333333.33333333331</v>
      </c>
      <c r="I16" s="433">
        <f t="shared" si="3"/>
        <v>271748.44666666671</v>
      </c>
      <c r="J16" s="562">
        <f t="shared" si="1"/>
        <v>0.81524534000000015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/>
      <c r="F17" s="748">
        <v>62784.97</v>
      </c>
      <c r="G17" s="748">
        <v>605081.78</v>
      </c>
      <c r="H17" s="748">
        <v>333333.33333333331</v>
      </c>
      <c r="I17" s="517">
        <f t="shared" ref="I17:I27" si="4">G17-H17</f>
        <v>271748.44666666671</v>
      </c>
      <c r="J17" s="561">
        <f t="shared" si="1"/>
        <v>0.81524534000000015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0</v>
      </c>
      <c r="F28" s="74">
        <f t="shared" si="7"/>
        <v>397402.97</v>
      </c>
      <c r="G28" s="74">
        <f t="shared" si="7"/>
        <v>130932016.78</v>
      </c>
      <c r="H28" s="74">
        <f t="shared" si="7"/>
        <v>46843666.666666664</v>
      </c>
      <c r="I28" s="74">
        <f t="shared" si="7"/>
        <v>84088350.113333344</v>
      </c>
      <c r="J28" s="307">
        <f t="shared" si="1"/>
        <v>1.7950847168240462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0</v>
      </c>
      <c r="F31" s="45">
        <f t="shared" si="8"/>
        <v>0</v>
      </c>
      <c r="G31" s="45">
        <f t="shared" si="8"/>
        <v>16225993</v>
      </c>
      <c r="H31" s="45">
        <f t="shared" si="8"/>
        <v>11994000</v>
      </c>
      <c r="I31" s="45">
        <f t="shared" si="8"/>
        <v>4231993</v>
      </c>
      <c r="J31" s="346">
        <f t="shared" ref="J31:J46" si="9">IF(I31=0,"",I31/H31)</f>
        <v>0.35284250458562616</v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/>
      <c r="F32" s="748"/>
      <c r="G32" s="748">
        <v>16225993</v>
      </c>
      <c r="H32" s="748">
        <v>11994000</v>
      </c>
      <c r="I32" s="517">
        <f t="shared" ref="I32:I37" si="10">G32-H32</f>
        <v>4231993</v>
      </c>
      <c r="J32" s="561">
        <f t="shared" si="9"/>
        <v>0.35284250458562616</v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0</v>
      </c>
      <c r="F44" s="433">
        <f t="shared" si="14"/>
        <v>0</v>
      </c>
      <c r="G44" s="433">
        <f t="shared" si="14"/>
        <v>3226135</v>
      </c>
      <c r="H44" s="433">
        <f t="shared" si="14"/>
        <v>5000000</v>
      </c>
      <c r="I44" s="517">
        <f t="shared" si="12"/>
        <v>-1773865</v>
      </c>
      <c r="J44" s="561">
        <f t="shared" si="9"/>
        <v>-0.35477300000000001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/>
      <c r="F45" s="751"/>
      <c r="G45" s="751">
        <v>3226135</v>
      </c>
      <c r="H45" s="751">
        <v>5000000</v>
      </c>
      <c r="I45" s="517">
        <f t="shared" si="12"/>
        <v>-1773865</v>
      </c>
      <c r="J45" s="561">
        <f t="shared" si="9"/>
        <v>-0.35477300000000001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0</v>
      </c>
      <c r="F47" s="74">
        <f t="shared" si="15"/>
        <v>0</v>
      </c>
      <c r="G47" s="74">
        <f t="shared" si="15"/>
        <v>19452128</v>
      </c>
      <c r="H47" s="74">
        <f t="shared" si="15"/>
        <v>16994000</v>
      </c>
      <c r="I47" s="74">
        <f t="shared" si="15"/>
        <v>2458128</v>
      </c>
      <c r="J47" s="307">
        <f>IF(I47=0,"",I47/H47)</f>
        <v>0.14464681652347888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0</v>
      </c>
      <c r="F49" s="56">
        <f t="shared" si="16"/>
        <v>397402.97</v>
      </c>
      <c r="G49" s="56">
        <f t="shared" si="16"/>
        <v>150384144.78</v>
      </c>
      <c r="H49" s="56">
        <f t="shared" si="16"/>
        <v>63837666.666666664</v>
      </c>
      <c r="I49" s="56">
        <f t="shared" si="16"/>
        <v>86546478.113333344</v>
      </c>
      <c r="J49" s="293">
        <f>IF(I49=0,"",I49/H49)</f>
        <v>1.3557274667516046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38" activePane="bottomRight" state="frozen"/>
      <selection activeCell="O16" sqref="O16"/>
      <selection pane="topRight" activeCell="O16" sqref="O16"/>
      <selection pane="bottomLeft" activeCell="O16" sqref="O16"/>
      <selection pane="bottomRight" activeCell="E35" sqref="E35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9" t="str">
        <f>muni&amp; " - "&amp;S71T&amp; " - "&amp;Head57</f>
        <v>NW385 Ramotshere Moiloa - Supporting Table SC7(2) Monthly Budget Statement - Expenditure against approved rollovers - M07 January</v>
      </c>
      <c r="B1" s="999"/>
      <c r="C1" s="999"/>
      <c r="D1" s="999"/>
      <c r="E1" s="999"/>
      <c r="F1" s="999"/>
      <c r="G1" s="999"/>
    </row>
    <row r="2" spans="1:7" ht="21.7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5"/>
    </row>
    <row r="3" spans="1:7" ht="39.75" customHeight="1" x14ac:dyDescent="0.25">
      <c r="A3" s="989"/>
      <c r="B3" s="992"/>
      <c r="C3" s="200" t="str">
        <f>"Approved Rollover " &amp;Head1</f>
        <v>Approved Rollover 2014/15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92" activePane="bottomRight" state="frozen"/>
      <selection activeCell="O16" sqref="O16"/>
      <selection pane="topRight" activeCell="O16" sqref="O16"/>
      <selection pane="bottomLeft" activeCell="O16" sqref="O16"/>
      <selection pane="bottomRight" activeCell="F106" sqref="F106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"&amp;S71N&amp; " - "&amp;Head57</f>
        <v>NW385 Ramotshere Moiloa - Supporting Table SC8 Monthly Budget Statement - councillor and staff benefits 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">
        <v>797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/>
      <c r="F7" s="747">
        <f>334830+162839</f>
        <v>497669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/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/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/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/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0</v>
      </c>
      <c r="F14" s="433">
        <f t="shared" si="2"/>
        <v>752147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str">
        <f>IF(E14=0,"",(E14/C14)-1)</f>
        <v/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/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/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/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/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/>
      <c r="F22" s="747"/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/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/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0</v>
      </c>
      <c r="F30" s="433">
        <f>SUM(F18:F29)</f>
        <v>1667120.6790747631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str">
        <f>IF(E30=0,"",(E30/C30)-1)</f>
        <v/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/>
      <c r="F34" s="747">
        <f>3879252.1913544+470355-1666790</f>
        <v>2682817.1913543995</v>
      </c>
      <c r="G34" s="747">
        <f>14739574.1154176+9407103</f>
        <v>24146677.1154176</v>
      </c>
      <c r="H34" s="747">
        <v>20390660.969999999</v>
      </c>
      <c r="I34" s="45">
        <f t="shared" ref="I34:I46" si="6">G34-H34</f>
        <v>3756016.1454176009</v>
      </c>
      <c r="J34" s="333">
        <f t="shared" ref="J34:J45" si="7">IF(I34=0,"",I34/H34)</f>
        <v>0.18420276571434757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/>
      <c r="F35" s="747">
        <v>1653815.78185803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/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/>
      <c r="F37" s="747">
        <v>206371</v>
      </c>
      <c r="G37" s="747">
        <f>F37</f>
        <v>206371</v>
      </c>
      <c r="H37" s="747">
        <v>659692.66666666663</v>
      </c>
      <c r="I37" s="45">
        <f t="shared" si="6"/>
        <v>-453321.66666666663</v>
      </c>
      <c r="J37" s="333">
        <f t="shared" si="7"/>
        <v>-0.68717099578692697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/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/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/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/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/>
      <c r="F42" s="747">
        <v>1462024.52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0</v>
      </c>
      <c r="F46" s="433">
        <f>SUM(F34:F45)</f>
        <v>7748388.3227164727</v>
      </c>
      <c r="G46" s="433">
        <f>SUM(G34:G45)</f>
        <v>40120841.859007865</v>
      </c>
      <c r="H46" s="433">
        <f>SUM(H34:H45)</f>
        <v>30863768.666232571</v>
      </c>
      <c r="I46" s="433">
        <f t="shared" si="6"/>
        <v>9257073.1927752942</v>
      </c>
      <c r="J46" s="434">
        <f>IF(I46=0,"",I46/H46)</f>
        <v>0.29993333908387126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str">
        <f>IF(E46=0,"",(E46/C46)-1)</f>
        <v/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0</v>
      </c>
      <c r="F49" s="74">
        <f t="shared" si="9"/>
        <v>10167656.001791235</v>
      </c>
      <c r="G49" s="74">
        <f t="shared" si="9"/>
        <v>49670864.12958245</v>
      </c>
      <c r="H49" s="74">
        <f t="shared" si="9"/>
        <v>36923862.885060593</v>
      </c>
      <c r="I49" s="74">
        <f>G49-H49</f>
        <v>12747001.244521856</v>
      </c>
      <c r="J49" s="334">
        <f>IF(I49=0,"",I49/H49)</f>
        <v>0.34522393510672733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str">
        <f>IF(E49=0,"",(E49/C49)-1)</f>
        <v/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0</v>
      </c>
      <c r="F104" s="56">
        <f t="shared" si="20"/>
        <v>10167656.001791235</v>
      </c>
      <c r="G104" s="56">
        <f t="shared" si="20"/>
        <v>49670864.12958245</v>
      </c>
      <c r="H104" s="56">
        <f t="shared" si="20"/>
        <v>36923862.885060593</v>
      </c>
      <c r="I104" s="56">
        <f>G104-H104</f>
        <v>12747001.244521856</v>
      </c>
      <c r="J104" s="335">
        <f>IF(I104=0,"",I104/H104)</f>
        <v>0.34522393510672733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str">
        <f>IF(E104=0,"",(E104/C104)-1)</f>
        <v/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0</v>
      </c>
      <c r="F106" s="56">
        <f t="shared" si="21"/>
        <v>9415509.0017912351</v>
      </c>
      <c r="G106" s="56">
        <f t="shared" si="21"/>
        <v>46724324.12958245</v>
      </c>
      <c r="H106" s="56">
        <f t="shared" si="21"/>
        <v>32988126.491505381</v>
      </c>
      <c r="I106" s="56">
        <f t="shared" si="21"/>
        <v>13736197.638077065</v>
      </c>
      <c r="J106" s="913">
        <f>IF(I106=0,"",I106/H106)</f>
        <v>0.41639823472891707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32" activePane="bottomRight" state="frozen"/>
      <selection activeCell="O16" sqref="O16"/>
      <selection pane="topRight" activeCell="O16" sqref="O16"/>
      <selection pane="bottomLeft" activeCell="O16" sqref="O16"/>
      <selection pane="bottomRight" activeCell="M36" sqref="M36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M07 January</v>
      </c>
      <c r="B1" s="69"/>
    </row>
    <row r="2" spans="1:17" ht="25.5" customHeight="1" x14ac:dyDescent="0.25">
      <c r="A2" s="988" t="str">
        <f>desc</f>
        <v>Description</v>
      </c>
      <c r="B2" s="981" t="str">
        <f>head27</f>
        <v>Ref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1034"/>
      <c r="O2" s="983" t="str">
        <f>'Template names'!B5</f>
        <v>2015/16 Medium Term Revenue &amp; Expenditure Framework</v>
      </c>
      <c r="P2" s="984"/>
      <c r="Q2" s="985"/>
    </row>
    <row r="3" spans="1:17" ht="12.75" customHeight="1" x14ac:dyDescent="0.25">
      <c r="A3" s="989"/>
      <c r="B3" s="992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32" t="str">
        <f>Head9</f>
        <v>Budget Year 2015/16</v>
      </c>
      <c r="P3" s="1028" t="str">
        <f>Head10</f>
        <v>Budget Year +1 2016/17</v>
      </c>
      <c r="Q3" s="1030" t="str">
        <f>Head11</f>
        <v>Budget Year +2 2017/18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3"/>
      <c r="P4" s="1029"/>
      <c r="Q4" s="1031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/>
      <c r="K6" s="747"/>
      <c r="L6" s="747"/>
      <c r="M6" s="747"/>
      <c r="N6" s="109">
        <f t="shared" ref="N6:N21" si="0">O6-SUM(C6:M6)</f>
        <v>-13840308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/>
      <c r="K7" s="747"/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/>
      <c r="K8" s="747"/>
      <c r="L8" s="747"/>
      <c r="M8" s="747"/>
      <c r="N8" s="109">
        <f t="shared" si="0"/>
        <v>-16128269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/>
      <c r="K9" s="747"/>
      <c r="L9" s="747"/>
      <c r="M9" s="747"/>
      <c r="N9" s="109">
        <f t="shared" si="0"/>
        <v>-4194420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/>
      <c r="K10" s="747"/>
      <c r="L10" s="747"/>
      <c r="M10" s="747"/>
      <c r="N10" s="109">
        <f t="shared" si="0"/>
        <v>-4137074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/>
      <c r="K11" s="747"/>
      <c r="L11" s="747"/>
      <c r="M11" s="747"/>
      <c r="N11" s="109">
        <f t="shared" si="0"/>
        <v>-7991111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/>
      <c r="K12" s="747"/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/>
      <c r="K13" s="747"/>
      <c r="L13" s="747"/>
      <c r="M13" s="747"/>
      <c r="N13" s="109">
        <f t="shared" si="0"/>
        <v>-70026.41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/>
      <c r="K14" s="747"/>
      <c r="L14" s="747"/>
      <c r="M14" s="747"/>
      <c r="N14" s="109">
        <f t="shared" si="0"/>
        <v>-593775.89999999991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/>
      <c r="K15" s="747"/>
      <c r="L15" s="747"/>
      <c r="M15" s="747"/>
      <c r="N15" s="109">
        <f t="shared" si="0"/>
        <v>-46400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/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/>
      <c r="K17" s="747"/>
      <c r="L17" s="747"/>
      <c r="M17" s="747"/>
      <c r="N17" s="109">
        <f t="shared" si="0"/>
        <v>-1547593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/>
      <c r="K18" s="747"/>
      <c r="L18" s="747"/>
      <c r="M18" s="747"/>
      <c r="N18" s="109">
        <f t="shared" si="0"/>
        <v>-3694917.84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>
        <v>0</v>
      </c>
      <c r="J19" s="747"/>
      <c r="K19" s="747"/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>
        <v>0</v>
      </c>
      <c r="J20" s="747"/>
      <c r="K20" s="747"/>
      <c r="L20" s="747"/>
      <c r="M20" s="747"/>
      <c r="N20" s="109">
        <f t="shared" si="0"/>
        <v>-103559718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/>
      <c r="K21" s="747"/>
      <c r="L21" s="747"/>
      <c r="M21" s="747"/>
      <c r="N21" s="109">
        <f t="shared" si="0"/>
        <v>-42817346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0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-198620959.14999998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/>
      <c r="L25" s="747"/>
      <c r="M25" s="747"/>
      <c r="N25" s="109">
        <f t="shared" si="2"/>
        <v>-40122000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0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-238742959.14999998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9415371</v>
      </c>
      <c r="J37" s="747"/>
      <c r="K37" s="747"/>
      <c r="L37" s="747"/>
      <c r="M37" s="747"/>
      <c r="N37" s="109">
        <f t="shared" si="4"/>
        <v>-62978303.859999999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751838.76</v>
      </c>
      <c r="J38" s="747"/>
      <c r="K38" s="747"/>
      <c r="L38" s="747"/>
      <c r="M38" s="747"/>
      <c r="N38" s="109">
        <f t="shared" si="4"/>
        <v>-4287686.0599999996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/>
      <c r="K40" s="747"/>
      <c r="L40" s="747"/>
      <c r="M40" s="747"/>
      <c r="N40" s="109">
        <f t="shared" si="4"/>
        <v>-15861525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/>
      <c r="K42" s="747"/>
      <c r="L42" s="747"/>
      <c r="M42" s="747"/>
      <c r="N42" s="109">
        <f t="shared" si="4"/>
        <v>-2648906.1420042375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/>
      <c r="K43" s="747"/>
      <c r="L43" s="747"/>
      <c r="M43" s="747"/>
      <c r="N43" s="109">
        <f t="shared" si="4"/>
        <v>-4770370.18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/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/>
      <c r="K45" s="747"/>
      <c r="L45" s="747"/>
      <c r="M45" s="747"/>
      <c r="N45" s="109">
        <f t="shared" si="4"/>
        <v>-2333770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f>1550551-11000</f>
        <v>1539551</v>
      </c>
      <c r="J46" s="747"/>
      <c r="K46" s="747"/>
      <c r="L46" s="747"/>
      <c r="M46" s="747"/>
      <c r="N46" s="109">
        <f t="shared" si="4"/>
        <v>-93130834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13161829.67</v>
      </c>
      <c r="J47" s="433">
        <f t="shared" si="5"/>
        <v>0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-186011395.24200425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/>
      <c r="K50" s="747"/>
      <c r="L50" s="747"/>
      <c r="M50" s="747"/>
      <c r="N50" s="109">
        <f>O50-SUM(C50:M50)</f>
        <v>-31357586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18019880.670000002</v>
      </c>
      <c r="J53" s="74">
        <f t="shared" si="6"/>
        <v>0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-217368981.24200425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-10951851.670000002</v>
      </c>
      <c r="J55" s="51">
        <f t="shared" si="7"/>
        <v>0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-21373977.907995731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v>18146493</v>
      </c>
      <c r="D56" s="45">
        <f>C57</f>
        <v>36646840.097995766</v>
      </c>
      <c r="E56" s="45">
        <f t="shared" ref="E56:N56" si="8">D57</f>
        <v>31175606.607995763</v>
      </c>
      <c r="F56" s="45">
        <f t="shared" si="8"/>
        <v>18898382.647995763</v>
      </c>
      <c r="G56" s="45">
        <f t="shared" si="8"/>
        <v>5194429.7579957619</v>
      </c>
      <c r="H56" s="45">
        <f t="shared" si="8"/>
        <v>65297558.437995754</v>
      </c>
      <c r="I56" s="45">
        <f t="shared" si="8"/>
        <v>50472322.577995755</v>
      </c>
      <c r="J56" s="45">
        <f t="shared" si="8"/>
        <v>39520470.907995753</v>
      </c>
      <c r="K56" s="45">
        <f t="shared" si="8"/>
        <v>39520470.907995753</v>
      </c>
      <c r="L56" s="45">
        <f t="shared" si="8"/>
        <v>39520470.907995753</v>
      </c>
      <c r="M56" s="45">
        <f t="shared" si="8"/>
        <v>39520470.907995753</v>
      </c>
      <c r="N56" s="109">
        <f t="shared" si="8"/>
        <v>39520470.907995753</v>
      </c>
      <c r="O56" s="47">
        <f>C56</f>
        <v>18146493</v>
      </c>
      <c r="P56" s="45">
        <f>O57</f>
        <v>18146493</v>
      </c>
      <c r="Q56" s="145">
        <f>P57</f>
        <v>18146493</v>
      </c>
    </row>
    <row r="57" spans="1:17" ht="12.75" customHeight="1" x14ac:dyDescent="0.25">
      <c r="A57" s="324" t="s">
        <v>816</v>
      </c>
      <c r="B57" s="177"/>
      <c r="C57" s="302">
        <f>C55+C56</f>
        <v>36646840.097995766</v>
      </c>
      <c r="D57" s="116">
        <f>D55+D56</f>
        <v>31175606.607995763</v>
      </c>
      <c r="E57" s="116">
        <f t="shared" ref="E57:N57" si="9">E55+E56</f>
        <v>18898382.647995763</v>
      </c>
      <c r="F57" s="116">
        <f t="shared" si="9"/>
        <v>5194429.7579957619</v>
      </c>
      <c r="G57" s="116">
        <f t="shared" si="9"/>
        <v>65297558.437995754</v>
      </c>
      <c r="H57" s="116">
        <f t="shared" si="9"/>
        <v>50472322.577995755</v>
      </c>
      <c r="I57" s="116">
        <f t="shared" si="9"/>
        <v>39520470.907995753</v>
      </c>
      <c r="J57" s="116">
        <f t="shared" si="9"/>
        <v>39520470.907995753</v>
      </c>
      <c r="K57" s="116">
        <f t="shared" si="9"/>
        <v>39520470.907995753</v>
      </c>
      <c r="L57" s="116">
        <f t="shared" si="9"/>
        <v>39520470.907995753</v>
      </c>
      <c r="M57" s="116">
        <f t="shared" si="9"/>
        <v>39520470.907995753</v>
      </c>
      <c r="N57" s="320">
        <f t="shared" si="9"/>
        <v>18146493.000000022</v>
      </c>
      <c r="O57" s="117">
        <f>O55+O56</f>
        <v>18146493</v>
      </c>
      <c r="P57" s="116">
        <f>P55+P56</f>
        <v>18146493</v>
      </c>
      <c r="Q57" s="191">
        <f>Q55+Q56</f>
        <v>18146493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13161829.67</v>
      </c>
      <c r="J66" s="86">
        <f t="shared" si="10"/>
        <v>0</v>
      </c>
      <c r="K66" s="86">
        <f t="shared" si="10"/>
        <v>0</v>
      </c>
      <c r="L66" s="86">
        <f t="shared" si="10"/>
        <v>0</v>
      </c>
      <c r="M66" s="86"/>
      <c r="N66" s="86">
        <f>N47+N65</f>
        <v>-186011395.24200425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-10951851.670000002</v>
      </c>
      <c r="J67" s="86">
        <f t="shared" si="11"/>
        <v>0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-21373977.907995731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5" type="noConversion"/>
  <printOptions horizontalCentered="1"/>
  <pageMargins left="0.55000000000000004" right="0.19685039370078741" top="0.52" bottom="0.23" header="0.51181102362204722" footer="0.21"/>
  <pageSetup paperSize="9" scale="6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26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"&amp;S71P&amp; " - "&amp;Head57</f>
        <v>NW385 Ramotshere Moiloa - NOT REQUIRED - municipality does not have entities or this is the parent municipality's budget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23" activePane="bottomRight" state="frozen"/>
      <selection activeCell="O16" sqref="O16"/>
      <selection pane="topRight" activeCell="O16" sqref="O16"/>
      <selection pane="bottomLeft" activeCell="O16" sqref="O16"/>
      <selection pane="bottomRight" activeCell="M13" sqref="M13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9" t="str">
        <f>muni&amp; " - "&amp;S71Q&amp; " - "&amp;Head57</f>
        <v>NW385 Ramotshere Moiloa - NOT REQUIRED - municipality does not have entities or this is the parent municipality's budget - M07 January</v>
      </c>
      <c r="B1" s="999"/>
      <c r="C1" s="999"/>
      <c r="D1" s="999"/>
      <c r="E1" s="999"/>
      <c r="F1" s="999"/>
      <c r="G1" s="999"/>
      <c r="H1" s="999"/>
      <c r="I1" s="999"/>
      <c r="J1" s="999"/>
      <c r="K1" s="999"/>
    </row>
    <row r="2" spans="1:11" x14ac:dyDescent="0.25">
      <c r="A2" s="988" t="str">
        <f>desc</f>
        <v>Description</v>
      </c>
      <c r="B2" s="981" t="str">
        <f>head27</f>
        <v>Ref</v>
      </c>
      <c r="C2" s="159" t="str">
        <f>Head1</f>
        <v>2014/15</v>
      </c>
      <c r="D2" s="983" t="str">
        <f>Head2</f>
        <v>Budget Year 2015/16</v>
      </c>
      <c r="E2" s="984"/>
      <c r="F2" s="984"/>
      <c r="G2" s="984"/>
      <c r="H2" s="984"/>
      <c r="I2" s="984"/>
      <c r="J2" s="984"/>
      <c r="K2" s="985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5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activeCell="O16" sqref="O16"/>
      <selection pane="topRight" activeCell="O16" sqref="O16"/>
      <selection pane="bottomLeft" activeCell="O16" sqref="O16"/>
      <selection pane="bottomRight" activeCell="E12" sqref="E12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9" t="str">
        <f>muni&amp; " - "&amp;S71R&amp; " - "&amp;Head57</f>
        <v>NW385 Ramotshere Moiloa - Supporting Table SC12 Monthly Budget Statement - capital expenditure trend - M07 January</v>
      </c>
      <c r="B1" s="999"/>
      <c r="C1" s="999"/>
      <c r="D1" s="999"/>
      <c r="E1" s="999"/>
      <c r="F1" s="999"/>
      <c r="G1" s="999"/>
      <c r="H1" s="999"/>
      <c r="I1" s="999"/>
      <c r="J1" s="999"/>
    </row>
    <row r="2" spans="1:10" x14ac:dyDescent="0.25">
      <c r="A2" s="988" t="s">
        <v>1048</v>
      </c>
      <c r="B2" s="140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38.25" x14ac:dyDescent="0.25">
      <c r="A3" s="989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/>
      <c r="F13" s="411" t="str">
        <f t="shared" si="3"/>
        <v/>
      </c>
      <c r="G13" s="411">
        <f t="shared" si="4"/>
        <v>70468682.080640003</v>
      </c>
      <c r="H13" s="45">
        <f t="shared" si="0"/>
        <v>0</v>
      </c>
      <c r="I13" s="125" t="str">
        <f t="shared" si="1"/>
        <v/>
      </c>
      <c r="J13" s="684" t="str">
        <f t="shared" si="2"/>
        <v/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/>
      <c r="F14" s="411" t="str">
        <f t="shared" si="3"/>
        <v/>
      </c>
      <c r="G14" s="411">
        <f t="shared" si="4"/>
        <v>79277267.340719998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/>
      <c r="F15" s="411" t="str">
        <f t="shared" si="3"/>
        <v/>
      </c>
      <c r="G15" s="411">
        <f t="shared" si="4"/>
        <v>88085852.600799993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/>
      <c r="F16" s="411" t="str">
        <f t="shared" si="3"/>
        <v/>
      </c>
      <c r="G16" s="411">
        <f t="shared" si="4"/>
        <v>96894437.860879987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40003745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50" t="s">
        <v>789</v>
      </c>
      <c r="B1" s="951"/>
      <c r="C1" s="951"/>
      <c r="D1" s="952"/>
    </row>
    <row r="2" spans="1:4" x14ac:dyDescent="0.2">
      <c r="A2" s="735" t="s">
        <v>1069</v>
      </c>
      <c r="B2" s="736" t="str">
        <f>HLOOKUP(MTREF,Headings,2)</f>
        <v>2014/15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2015/16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2015/16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2015/16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2015/16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2016/17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2017/18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2015/16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M07 January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5" t="s">
        <v>902</v>
      </c>
      <c r="B72" s="956"/>
      <c r="C72" s="956"/>
      <c r="D72" s="957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3" t="s">
        <v>948</v>
      </c>
      <c r="B76" s="954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2015/16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2015/16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5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62" activePane="bottomRight" state="frozen"/>
      <selection activeCell="O16" sqref="O16"/>
      <selection pane="topRight" activeCell="O16" sqref="O16"/>
      <selection pane="bottomLeft" activeCell="O16" sqref="O16"/>
      <selection pane="bottomRight" activeCell="H80" sqref="H80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"&amp;S71Sa&amp; " - "&amp;Head57</f>
        <v>NW385 Ramotshere Moiloa - Supporting Table SC13a Monthly Budget Statement - capital expenditure on new assets by asset class - M07 January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99679795.768000007</v>
      </c>
      <c r="E7" s="103">
        <f t="shared" si="0"/>
        <v>0</v>
      </c>
      <c r="F7" s="103">
        <f t="shared" si="0"/>
        <v>4856964</v>
      </c>
      <c r="G7" s="103">
        <f t="shared" si="0"/>
        <v>39503588</v>
      </c>
      <c r="H7" s="103">
        <f t="shared" si="0"/>
        <v>58146547.531333327</v>
      </c>
      <c r="I7" s="102">
        <f t="shared" ref="I7:I76" si="1">H7-G7</f>
        <v>18642959.531333327</v>
      </c>
      <c r="J7" s="588">
        <f t="shared" ref="J7:J76" si="2">IF(I7=0,"",I7/H7)</f>
        <v>0.32062023151567559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79545000</v>
      </c>
      <c r="E8" s="618">
        <f t="shared" si="3"/>
        <v>0</v>
      </c>
      <c r="F8" s="618">
        <f t="shared" si="3"/>
        <v>4856964</v>
      </c>
      <c r="G8" s="618">
        <f t="shared" si="3"/>
        <v>30847958</v>
      </c>
      <c r="H8" s="618">
        <f t="shared" si="3"/>
        <v>46401250</v>
      </c>
      <c r="I8" s="259">
        <f t="shared" si="1"/>
        <v>15553292</v>
      </c>
      <c r="J8" s="584">
        <f t="shared" si="2"/>
        <v>0.33519122868457207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>
        <v>79545000</v>
      </c>
      <c r="E9" s="747"/>
      <c r="F9" s="747">
        <v>4856964</v>
      </c>
      <c r="G9" s="747">
        <f>25990994+F9</f>
        <v>30847958</v>
      </c>
      <c r="H9" s="747">
        <f>D9/12*7</f>
        <v>46401250</v>
      </c>
      <c r="I9" s="259">
        <f t="shared" si="1"/>
        <v>15553292</v>
      </c>
      <c r="J9" s="584">
        <f t="shared" si="2"/>
        <v>0.33519122868457207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0</v>
      </c>
      <c r="F11" s="411">
        <f t="shared" si="4"/>
        <v>0</v>
      </c>
      <c r="G11" s="411">
        <f t="shared" si="4"/>
        <v>7922686</v>
      </c>
      <c r="H11" s="411">
        <f t="shared" si="4"/>
        <v>9333333.3333333321</v>
      </c>
      <c r="I11" s="259">
        <f t="shared" si="1"/>
        <v>1410647.3333333321</v>
      </c>
      <c r="J11" s="584">
        <f t="shared" si="2"/>
        <v>0.1511407857142856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/>
      <c r="F13" s="747"/>
      <c r="G13" s="747">
        <v>7922686</v>
      </c>
      <c r="H13" s="747">
        <f>D13/12*7</f>
        <v>9333333.3333333321</v>
      </c>
      <c r="I13" s="259">
        <f t="shared" si="1"/>
        <v>1410647.3333333321</v>
      </c>
      <c r="J13" s="584">
        <f t="shared" si="2"/>
        <v>0.1511407857142856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0</v>
      </c>
      <c r="F15" s="411">
        <f t="shared" si="5"/>
        <v>0</v>
      </c>
      <c r="G15" s="411">
        <f t="shared" si="5"/>
        <v>732944</v>
      </c>
      <c r="H15" s="411">
        <f t="shared" si="5"/>
        <v>2041666.6666666667</v>
      </c>
      <c r="I15" s="259">
        <f t="shared" si="1"/>
        <v>1308722.6666666667</v>
      </c>
      <c r="J15" s="584">
        <f t="shared" si="2"/>
        <v>0.64100702040816326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/>
      <c r="F17" s="747"/>
      <c r="G17" s="747">
        <v>732944</v>
      </c>
      <c r="H17" s="747">
        <f>D17/12*7</f>
        <v>2041666.6666666667</v>
      </c>
      <c r="I17" s="259">
        <f t="shared" si="1"/>
        <v>1308722.6666666667</v>
      </c>
      <c r="J17" s="584">
        <f t="shared" si="2"/>
        <v>0.64100702040816326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634795.76800000004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370297.53133333335</v>
      </c>
      <c r="I22" s="259">
        <f t="shared" si="1"/>
        <v>370297.53133333335</v>
      </c>
      <c r="J22" s="584">
        <f t="shared" si="2"/>
        <v>1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>
        <v>634795.76800000004</v>
      </c>
      <c r="E23" s="747"/>
      <c r="F23" s="747"/>
      <c r="G23" s="747"/>
      <c r="H23" s="747">
        <f>D23/12*7</f>
        <v>370297.53133333335</v>
      </c>
      <c r="I23" s="259">
        <f t="shared" si="1"/>
        <v>370297.53133333335</v>
      </c>
      <c r="J23" s="584">
        <f t="shared" si="2"/>
        <v>1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0</v>
      </c>
      <c r="F28" s="587">
        <f t="shared" si="8"/>
        <v>1087</v>
      </c>
      <c r="G28" s="587">
        <f t="shared" si="8"/>
        <v>203798</v>
      </c>
      <c r="H28" s="587">
        <f t="shared" si="8"/>
        <v>2259382.62256</v>
      </c>
      <c r="I28" s="587">
        <f t="shared" si="1"/>
        <v>2055584.62256</v>
      </c>
      <c r="J28" s="588">
        <f t="shared" si="2"/>
        <v>0.90979925313885701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/>
      <c r="F29" s="747">
        <v>1087</v>
      </c>
      <c r="G29" s="747">
        <f>202711+F29</f>
        <v>203798</v>
      </c>
      <c r="H29" s="747">
        <f>D29/12*7</f>
        <v>1406024.2892266666</v>
      </c>
      <c r="I29" s="45">
        <f t="shared" si="1"/>
        <v>1202226.2892266666</v>
      </c>
      <c r="J29" s="125">
        <f t="shared" si="2"/>
        <v>0.85505371311039602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/>
      <c r="H36" s="747">
        <f>D36/12*7</f>
        <v>853358.33333333326</v>
      </c>
      <c r="I36" s="45">
        <f t="shared" si="1"/>
        <v>853358.33333333326</v>
      </c>
      <c r="J36" s="125">
        <f t="shared" si="2"/>
        <v>1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2150000</v>
      </c>
      <c r="E50" s="587">
        <f t="shared" si="11"/>
        <v>0</v>
      </c>
      <c r="F50" s="587">
        <f t="shared" si="11"/>
        <v>0</v>
      </c>
      <c r="G50" s="587">
        <f t="shared" si="11"/>
        <v>296359</v>
      </c>
      <c r="H50" s="587">
        <f t="shared" si="11"/>
        <v>1254166.6666666665</v>
      </c>
      <c r="I50" s="587">
        <f t="shared" si="1"/>
        <v>957807.66666666651</v>
      </c>
      <c r="J50" s="588">
        <f t="shared" si="2"/>
        <v>0.76370046511627909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/>
      <c r="F58" s="747"/>
      <c r="G58" s="747">
        <v>296359</v>
      </c>
      <c r="H58" s="747">
        <f>D58/12*7</f>
        <v>1254166.6666666665</v>
      </c>
      <c r="I58" s="45">
        <f t="shared" si="1"/>
        <v>957807.66666666651</v>
      </c>
      <c r="J58" s="125">
        <f t="shared" si="2"/>
        <v>0.76370046511627909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105703023.12096001</v>
      </c>
      <c r="E76" s="56">
        <f t="shared" si="16"/>
        <v>0</v>
      </c>
      <c r="F76" s="56">
        <f t="shared" si="16"/>
        <v>4858051</v>
      </c>
      <c r="G76" s="56">
        <f t="shared" si="16"/>
        <v>40003745</v>
      </c>
      <c r="H76" s="56">
        <f t="shared" si="16"/>
        <v>61660096.820559993</v>
      </c>
      <c r="I76" s="56">
        <f t="shared" si="1"/>
        <v>21656351.820559993</v>
      </c>
      <c r="J76" s="293">
        <f t="shared" si="2"/>
        <v>0.35122150202882718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1</v>
      </c>
      <c r="H86" s="136">
        <f>H76+SC13b!H76-'C5-Capex'!H40</f>
        <v>0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62" activePane="bottomRight" state="frozen"/>
      <selection activeCell="O16" sqref="O16"/>
      <selection pane="topRight" activeCell="O16" sqref="O16"/>
      <selection pane="bottomLeft" activeCell="O16" sqref="O16"/>
      <selection pane="bottomRight" activeCell="H86" sqref="H86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"&amp;S71Sb&amp; " - "&amp;Head57</f>
        <v>NW385 Ramotshere Moiloa - Supporting Table SC13b Monthly Budget Statement - capital expenditure on renewal of existing assets by asset class - M07 January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1</v>
      </c>
      <c r="H86" s="136">
        <f>H76+SC13a!H76-'C5-Capex'!H40</f>
        <v>0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62" activePane="bottomRight" state="frozen"/>
      <selection activeCell="O16" sqref="O16"/>
      <selection pane="topRight" activeCell="O16" sqref="O16"/>
      <selection pane="bottomLeft" activeCell="O16" sqref="O16"/>
      <selection pane="bottomRight" activeCell="H73" sqref="H73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"&amp;S71Sc&amp; " - "&amp;Head57</f>
        <v>NW385 Ramotshere Moiloa - Supporting Table SC13c Monthly Budget Statement - expenditure on repairs and maintenance by asset class - M07 January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0</v>
      </c>
      <c r="F50" s="587">
        <f t="shared" si="11"/>
        <v>150318.91000000003</v>
      </c>
      <c r="G50" s="587">
        <f t="shared" si="11"/>
        <v>150318.91000000003</v>
      </c>
      <c r="H50" s="587">
        <f t="shared" si="11"/>
        <v>7266411.559685084</v>
      </c>
      <c r="I50" s="587">
        <f t="shared" si="1"/>
        <v>7116092.6496850839</v>
      </c>
      <c r="J50" s="588">
        <f t="shared" si="2"/>
        <v>0.97931318522694377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/>
      <c r="F62" s="747">
        <v>150318.91000000003</v>
      </c>
      <c r="G62" s="747">
        <f>F62</f>
        <v>150318.91000000003</v>
      </c>
      <c r="H62" s="747">
        <f>D62/12*7</f>
        <v>7266411.559685084</v>
      </c>
      <c r="I62" s="45">
        <f t="shared" si="1"/>
        <v>7116092.6496850839</v>
      </c>
      <c r="J62" s="125">
        <f t="shared" si="2"/>
        <v>0.97931318522694377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0</v>
      </c>
      <c r="F76" s="56">
        <f t="shared" si="16"/>
        <v>150318.91000000003</v>
      </c>
      <c r="G76" s="56">
        <f t="shared" si="16"/>
        <v>150318.91000000003</v>
      </c>
      <c r="H76" s="56">
        <f t="shared" si="16"/>
        <v>7266411.559685084</v>
      </c>
      <c r="I76" s="56">
        <f>H76-G76</f>
        <v>7116092.6496850839</v>
      </c>
      <c r="J76" s="293">
        <f>IF(I76=0,"",I76/H76)</f>
        <v>0.97931318522694377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59" activePane="bottomRight" state="frozen"/>
      <selection activeCell="O16" sqref="O16"/>
      <selection pane="topRight" activeCell="O16" sqref="O16"/>
      <selection pane="bottomLeft" activeCell="O16" sqref="O16"/>
      <selection pane="bottomRight" activeCell="H62" sqref="H62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3" t="str">
        <f>muni&amp; " - "&amp;S71Sd&amp; " - "&amp;Head57</f>
        <v>NW385 Ramotshere Moiloa - Supporting Table SC13d Monthly Budget Statement - depreciation by asset class - M07 January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</row>
    <row r="2" spans="1:11" x14ac:dyDescent="0.25">
      <c r="A2" s="988" t="str">
        <f>desc</f>
        <v>Description</v>
      </c>
      <c r="B2" s="981" t="str">
        <f>head27</f>
        <v>Ref</v>
      </c>
      <c r="C2" s="140" t="str">
        <f>Head1</f>
        <v>2014/15</v>
      </c>
      <c r="D2" s="246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9"/>
      <c r="B3" s="992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zoomScale="60" zoomScaleNormal="100" workbookViewId="0">
      <selection activeCell="O16" sqref="O16"/>
    </sheetView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2015/16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2014/15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0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2015/16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 t="str">
        <f>'SC12'!F13</f>
        <v/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 t="str">
        <f>'SC12'!F14</f>
        <v/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2015/16</v>
      </c>
      <c r="B53" s="44">
        <f>'SC3'!C14</f>
        <v>6169323</v>
      </c>
      <c r="C53" s="44">
        <f>'SC3'!D14</f>
        <v>2852895</v>
      </c>
      <c r="D53" s="44">
        <f>'SC3'!E14</f>
        <v>3120383</v>
      </c>
      <c r="E53" s="44">
        <f>'SC3'!F14</f>
        <v>3036930</v>
      </c>
      <c r="F53" s="44">
        <f>'SC3'!G14</f>
        <v>2789300</v>
      </c>
      <c r="G53" s="44">
        <f>'SC3'!H14</f>
        <v>2497183</v>
      </c>
      <c r="H53" s="44">
        <f>'SC3'!I14</f>
        <v>87497580</v>
      </c>
      <c r="I53" s="44">
        <f>'SC3'!J14</f>
        <v>0</v>
      </c>
    </row>
    <row r="54" spans="1:9" x14ac:dyDescent="0.25">
      <c r="A54" s="62" t="str">
        <f>Head1</f>
        <v>2014/15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2014/15</v>
      </c>
      <c r="C77" s="62" t="str">
        <f>Head2</f>
        <v>Budget Year 2015/16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6892508.6299999999</v>
      </c>
      <c r="C78" s="44">
        <f>'SC3'!K17</f>
        <v>7105679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11038403.09</v>
      </c>
      <c r="C79" s="44">
        <f>'SC3'!K18</f>
        <v>11379797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77628164.920000002</v>
      </c>
      <c r="C80" s="44">
        <f>'SC3'!K19</f>
        <v>80029036</v>
      </c>
    </row>
    <row r="81" spans="1:3" x14ac:dyDescent="0.25">
      <c r="A81" s="62" t="str">
        <f>'SC3'!A20</f>
        <v>Other</v>
      </c>
      <c r="B81" s="44">
        <f>C81*0.97</f>
        <v>9165609.5399999991</v>
      </c>
      <c r="C81" s="44">
        <f>'SC3'!K20</f>
        <v>9449082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2014/15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2015/16</v>
      </c>
      <c r="B104" s="44">
        <f>'SC4'!K6</f>
        <v>14693677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0</v>
      </c>
      <c r="J104" s="44">
        <f>'SC4'!K14</f>
        <v>4214239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5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A53" zoomScaleNormal="100" zoomScaleSheetLayoutView="100" workbookViewId="0">
      <selection activeCell="O16" sqref="O16"/>
    </sheetView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zoomScaleNormal="100" zoomScaleSheetLayoutView="100" workbookViewId="0">
      <selection activeCell="B33" sqref="B33"/>
    </sheetView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58"/>
      <c r="D8" s="958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1382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59"/>
      <c r="D11" s="960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61"/>
      <c r="D13" s="961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62" t="s">
        <v>446</v>
      </c>
      <c r="B14" s="963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64" t="s">
        <v>457</v>
      </c>
      <c r="B30" s="965"/>
      <c r="C30" s="966"/>
      <c r="D30" s="967"/>
      <c r="P30" s="846"/>
    </row>
    <row r="31" spans="1:16" ht="13.5" customHeight="1" thickTop="1" x14ac:dyDescent="0.2">
      <c r="A31" s="883" t="s">
        <v>458</v>
      </c>
      <c r="B31" s="884"/>
      <c r="C31" s="968" t="s">
        <v>459</v>
      </c>
      <c r="D31" s="969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70" t="s">
        <v>463</v>
      </c>
      <c r="B38" s="971"/>
      <c r="C38" s="970" t="s">
        <v>464</v>
      </c>
      <c r="D38" s="971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70" t="s">
        <v>465</v>
      </c>
      <c r="B45" s="971"/>
      <c r="C45" s="970" t="s">
        <v>466</v>
      </c>
      <c r="D45" s="971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72" t="s">
        <v>467</v>
      </c>
      <c r="B52" s="973"/>
      <c r="C52" s="974"/>
      <c r="D52" s="975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70" t="s">
        <v>469</v>
      </c>
      <c r="D53" s="971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70" t="s">
        <v>471</v>
      </c>
      <c r="D60" s="971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70" t="s">
        <v>472</v>
      </c>
      <c r="B67" s="971"/>
      <c r="C67" s="978"/>
      <c r="D67" s="979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70" t="s">
        <v>472</v>
      </c>
      <c r="B73" s="971"/>
      <c r="C73" s="976"/>
      <c r="D73" s="977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70" t="s">
        <v>472</v>
      </c>
      <c r="B79" s="971"/>
      <c r="C79" s="976"/>
      <c r="D79" s="977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  <mergeCell ref="C31:D31"/>
    <mergeCell ref="A38:B38"/>
    <mergeCell ref="C38:D38"/>
    <mergeCell ref="A45:B45"/>
    <mergeCell ref="C45:D45"/>
    <mergeCell ref="C8:D8"/>
    <mergeCell ref="C11:D11"/>
    <mergeCell ref="C13:D13"/>
    <mergeCell ref="A14:B14"/>
    <mergeCell ref="A30:B30"/>
    <mergeCell ref="C30:D30"/>
  </mergeCells>
  <phoneticPr fontId="5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14" activePane="bottomRight" state="frozen"/>
      <selection activeCell="O16" sqref="O16"/>
      <selection pane="topRight" activeCell="O16" sqref="O16"/>
      <selection pane="bottomLeft" activeCell="O16" sqref="O16"/>
      <selection pane="bottomRight" activeCell="D56" sqref="D56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M07 January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81" t="str">
        <f>desc</f>
        <v>Description</v>
      </c>
      <c r="B2" s="159" t="str">
        <f>Head1</f>
        <v>2014/15</v>
      </c>
      <c r="C2" s="983" t="str">
        <f>Head2</f>
        <v>Budget Year 2015/16</v>
      </c>
      <c r="D2" s="984"/>
      <c r="E2" s="984"/>
      <c r="F2" s="984"/>
      <c r="G2" s="984"/>
      <c r="H2" s="984"/>
      <c r="I2" s="984"/>
      <c r="J2" s="985"/>
    </row>
    <row r="3" spans="1:10" ht="25.5" x14ac:dyDescent="0.25">
      <c r="A3" s="982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0</v>
      </c>
      <c r="E6" s="411">
        <f>SUM('C4-FinPerf RE'!F6:F7)</f>
        <v>1898049.58</v>
      </c>
      <c r="F6" s="411">
        <f>SUM('C4-FinPerf RE'!G6:G7)</f>
        <v>15828534.720000001</v>
      </c>
      <c r="G6" s="660">
        <f>SUM('C4-FinPerf RE'!H6:H7)</f>
        <v>21162216.264583308</v>
      </c>
      <c r="H6" s="411">
        <f>F6-G6</f>
        <v>-5333681.5445833076</v>
      </c>
      <c r="I6" s="601">
        <f>IF(H6=0,"",H6/G6)</f>
        <v>-0.2520379471553581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0</v>
      </c>
      <c r="E7" s="411">
        <f>SUM('C4-FinPerf RE'!F8:F12)</f>
        <v>5244298.150000005</v>
      </c>
      <c r="F7" s="411">
        <f>SUM('C4-FinPerf RE'!G8:G12)</f>
        <v>39706522.720000051</v>
      </c>
      <c r="G7" s="660">
        <f>SUM('C4-FinPerf RE'!H8:H12)</f>
        <v>42856085.416666664</v>
      </c>
      <c r="H7" s="411">
        <f>F7-G7</f>
        <v>-3149562.6966666132</v>
      </c>
      <c r="I7" s="208">
        <f>IF(H7=0,"",H7/G7)</f>
        <v>-7.3491609558948498E-2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0</v>
      </c>
      <c r="E8" s="411">
        <f>'C4-FinPerf RE'!F14</f>
        <v>15535.720000000001</v>
      </c>
      <c r="F8" s="411">
        <f>'C4-FinPerf RE'!G14</f>
        <v>86948.87</v>
      </c>
      <c r="G8" s="660">
        <f>'C4-FinPerf RE'!H14</f>
        <v>76866.416666666657</v>
      </c>
      <c r="H8" s="411">
        <f>F8-G8</f>
        <v>10082.453333333338</v>
      </c>
      <c r="I8" s="208">
        <f>IF(H8=0,"",H8/G8)</f>
        <v>0.13116850987156298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0</v>
      </c>
      <c r="E9" s="411">
        <f>'C4-FinPerf RE'!F20</f>
        <v>5440403</v>
      </c>
      <c r="F9" s="411">
        <f>'C4-FinPerf RE'!G20</f>
        <v>104931938.28</v>
      </c>
      <c r="G9" s="660">
        <f>'C4-FinPerf RE'!H20</f>
        <v>84601416.666666657</v>
      </c>
      <c r="H9" s="411">
        <f>F9-G9</f>
        <v>20330521.613333344</v>
      </c>
      <c r="I9" s="208">
        <f>IF(H9=0,"",H9/G9)</f>
        <v>0.24030947015268672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0</v>
      </c>
      <c r="E10" s="412">
        <f>'C4-FinPerf RE'!F13+'C4-FinPerf RE'!F15+'C4-FinPerf RE'!F16+'C4-FinPerf RE'!F17+'C4-FinPerf RE'!F18+'C4-FinPerf RE'!F19+'C4-FinPerf RE'!F21+'C4-FinPerf RE'!F22</f>
        <v>338802.52000001603</v>
      </c>
      <c r="F10" s="412">
        <f>'C4-FinPerf RE'!G13+'C4-FinPerf RE'!G15+'C4-FinPerf RE'!G16+'C4-FinPerf RE'!G17+'C4-FinPerf RE'!G18+'C4-FinPerf RE'!G19+'C4-FinPerf RE'!G21+'C4-FinPerf RE'!G22</f>
        <v>5265488.9300000658</v>
      </c>
      <c r="G10" s="663">
        <f>'C4-FinPerf RE'!H13+'C4-FinPerf RE'!H15+'C4-FinPerf RE'!H16+'C4-FinPerf RE'!H17+'C4-FinPerf RE'!H18+'C4-FinPerf RE'!H19+'C4-FinPerf RE'!H21+'C4-FinPerf RE'!H22</f>
        <v>15874485.951895751</v>
      </c>
      <c r="H10" s="412">
        <f>F10-G10</f>
        <v>-10608997.021895684</v>
      </c>
      <c r="I10" s="209">
        <f>IF(H10=0,"",H10/G10)</f>
        <v>-0.66830491733993724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0</v>
      </c>
      <c r="E11" s="667">
        <f t="shared" si="0"/>
        <v>12937088.970000021</v>
      </c>
      <c r="F11" s="667">
        <f t="shared" si="0"/>
        <v>165819433.5200001</v>
      </c>
      <c r="G11" s="668">
        <f t="shared" si="0"/>
        <v>164571070.71647903</v>
      </c>
      <c r="H11" s="667">
        <f t="shared" ref="H11:H25" si="1">F11-G11</f>
        <v>1248362.8035210669</v>
      </c>
      <c r="I11" s="603">
        <f t="shared" ref="I11:I25" si="2">IF(H11=0,"",H11/G11)</f>
        <v>7.5855543631464283E-3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0</v>
      </c>
      <c r="E12" s="411">
        <f>'C4-FinPerf RE'!F26</f>
        <v>9415371.4600000009</v>
      </c>
      <c r="F12" s="411">
        <f>'C4-FinPerf RE'!G26</f>
        <v>64260677.600000001</v>
      </c>
      <c r="G12" s="660" t="e">
        <f>'C4-FinPerf RE'!#REF!</f>
        <v>#REF!</v>
      </c>
      <c r="H12" s="411" t="e">
        <f t="shared" si="1"/>
        <v>#REF!</v>
      </c>
      <c r="I12" s="208" t="e">
        <f t="shared" si="2"/>
        <v>#REF!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0</v>
      </c>
      <c r="E13" s="411">
        <f>'C4-FinPerf RE'!F27</f>
        <v>751838.76</v>
      </c>
      <c r="F13" s="411">
        <f>'C4-FinPerf RE'!G27</f>
        <v>4287685.92</v>
      </c>
      <c r="G13" s="660" t="e">
        <f>'C4-FinPerf RE'!#REF!</f>
        <v>#REF!</v>
      </c>
      <c r="H13" s="411" t="e">
        <f t="shared" si="1"/>
        <v>#REF!</v>
      </c>
      <c r="I13" s="208" t="e">
        <f t="shared" si="2"/>
        <v>#REF!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0</v>
      </c>
      <c r="E14" s="411">
        <f>'C4-FinPerf RE'!F29</f>
        <v>0</v>
      </c>
      <c r="F14" s="411">
        <f>'C4-FinPerf RE'!G29</f>
        <v>0</v>
      </c>
      <c r="G14" s="660">
        <f>'C4-FinPerf RE'!H29</f>
        <v>0</v>
      </c>
      <c r="H14" s="411">
        <f t="shared" si="1"/>
        <v>0</v>
      </c>
      <c r="I14" s="208" t="str">
        <f t="shared" si="2"/>
        <v/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0</v>
      </c>
      <c r="E15" s="411">
        <f>'C4-FinPerf RE'!F30</f>
        <v>110464.12</v>
      </c>
      <c r="F15" s="411">
        <f>'C4-FinPerf RE'!G30</f>
        <v>558703.65999999992</v>
      </c>
      <c r="G15" s="660">
        <f>'C4-FinPerf RE'!H26</f>
        <v>57729221.359179474</v>
      </c>
      <c r="H15" s="411">
        <f t="shared" si="1"/>
        <v>-57170517.699179478</v>
      </c>
      <c r="I15" s="208">
        <f t="shared" si="2"/>
        <v>-0.99032199557094569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0</v>
      </c>
      <c r="E16" s="411">
        <f>SUM('C4-FinPerf RE'!F31:F32)</f>
        <v>2998064.27</v>
      </c>
      <c r="F16" s="411">
        <f>SUM('C4-FinPerf RE'!G31:G32)</f>
        <v>28610665.182004243</v>
      </c>
      <c r="G16" s="660">
        <f>SUM('C4-FinPerf RE'!H31:H32)</f>
        <v>27337453.959160339</v>
      </c>
      <c r="H16" s="411">
        <f t="shared" si="1"/>
        <v>1273211.222843904</v>
      </c>
      <c r="I16" s="601">
        <f t="shared" si="2"/>
        <v>4.6573877170345321E-2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0</v>
      </c>
      <c r="E17" s="411">
        <f>'C4-FinPerf RE'!F34</f>
        <v>252950</v>
      </c>
      <c r="F17" s="411">
        <f>'C4-FinPerf RE'!G34</f>
        <v>2091960</v>
      </c>
      <c r="G17" s="660">
        <f>'C4-FinPerf RE'!H34</f>
        <v>5548083.333333334</v>
      </c>
      <c r="H17" s="411">
        <f t="shared" si="1"/>
        <v>-3456123.333333334</v>
      </c>
      <c r="I17" s="208">
        <f t="shared" si="2"/>
        <v>-0.62294005437313194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0</v>
      </c>
      <c r="E18" s="411">
        <f>'C4-FinPerf RE'!F37-SUM('C1-Sum'!E12:E17)</f>
        <v>2419432.4600000009</v>
      </c>
      <c r="F18" s="411">
        <f>'C4-FinPerf RE'!G37-SUM('C1-Sum'!F12:F17)</f>
        <v>32477115.400000006</v>
      </c>
      <c r="G18" s="660" t="e">
        <f>'C4-FinPerf RE'!H37-SUM('C1-Sum'!G12:G17)</f>
        <v>#REF!</v>
      </c>
      <c r="H18" s="411" t="e">
        <f t="shared" si="1"/>
        <v>#REF!</v>
      </c>
      <c r="I18" s="208" t="e">
        <f t="shared" si="2"/>
        <v>#REF!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0</v>
      </c>
      <c r="E19" s="672">
        <f t="shared" si="3"/>
        <v>15948121.07</v>
      </c>
      <c r="F19" s="672">
        <f t="shared" si="3"/>
        <v>132286807.76200424</v>
      </c>
      <c r="G19" s="673" t="e">
        <f t="shared" si="3"/>
        <v>#REF!</v>
      </c>
      <c r="H19" s="672" t="e">
        <f t="shared" si="1"/>
        <v>#REF!</v>
      </c>
      <c r="I19" s="385" t="e">
        <f t="shared" si="2"/>
        <v>#REF!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0</v>
      </c>
      <c r="E20" s="647">
        <f t="shared" si="4"/>
        <v>-3011032.0999999791</v>
      </c>
      <c r="F20" s="647">
        <f t="shared" si="4"/>
        <v>33532625.757995859</v>
      </c>
      <c r="G20" s="677" t="e">
        <f t="shared" si="4"/>
        <v>#REF!</v>
      </c>
      <c r="H20" s="647" t="e">
        <f t="shared" si="1"/>
        <v>#REF!</v>
      </c>
      <c r="I20" s="207" t="e">
        <f t="shared" si="2"/>
        <v>#REF!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0</v>
      </c>
      <c r="E21" s="411">
        <f>'C4-FinPerf RE'!F40</f>
        <v>0</v>
      </c>
      <c r="F21" s="411">
        <f>'C4-FinPerf RE'!G40</f>
        <v>28316207</v>
      </c>
      <c r="G21" s="660">
        <f>'C4-FinPerf RE'!H40</f>
        <v>46717417</v>
      </c>
      <c r="H21" s="411">
        <f t="shared" si="1"/>
        <v>-18401210</v>
      </c>
      <c r="I21" s="208">
        <f t="shared" si="2"/>
        <v>-0.39388329196368027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0</v>
      </c>
      <c r="E23" s="667">
        <f t="shared" si="5"/>
        <v>-3011032.0999999791</v>
      </c>
      <c r="F23" s="667">
        <f t="shared" si="5"/>
        <v>61848832.757995859</v>
      </c>
      <c r="G23" s="668" t="e">
        <f t="shared" si="5"/>
        <v>#REF!</v>
      </c>
      <c r="H23" s="667" t="e">
        <f t="shared" si="1"/>
        <v>#REF!</v>
      </c>
      <c r="I23" s="602" t="e">
        <f t="shared" si="2"/>
        <v>#REF!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0</v>
      </c>
      <c r="E25" s="647">
        <f t="shared" si="6"/>
        <v>-3011032.0999999791</v>
      </c>
      <c r="F25" s="647">
        <f t="shared" si="6"/>
        <v>61848832.757995859</v>
      </c>
      <c r="G25" s="677" t="e">
        <f t="shared" si="6"/>
        <v>#REF!</v>
      </c>
      <c r="H25" s="647" t="e">
        <f t="shared" si="1"/>
        <v>#REF!</v>
      </c>
      <c r="I25" s="207" t="e">
        <f t="shared" si="2"/>
        <v>#REF!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105703023.12096</v>
      </c>
      <c r="D28" s="672">
        <f>'C5-Capex'!E40</f>
        <v>0</v>
      </c>
      <c r="E28" s="672">
        <f>'C5-Capex'!F40</f>
        <v>4858051</v>
      </c>
      <c r="F28" s="672">
        <f>'C5-Capex'!G40</f>
        <v>40003744</v>
      </c>
      <c r="G28" s="673">
        <f>'C5-Capex'!H40</f>
        <v>61660096.820559993</v>
      </c>
      <c r="H28" s="672">
        <f t="shared" ref="H28:H33" si="7">F28-G28</f>
        <v>-21656352.820559993</v>
      </c>
      <c r="I28" s="385">
        <f t="shared" ref="I28:I33" si="8">IF(H28=0,"",H28/G28)</f>
        <v>-0.35122151824677122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0</v>
      </c>
      <c r="E29" s="411">
        <f>'C5-Capex'!F70</f>
        <v>4856964</v>
      </c>
      <c r="F29" s="411">
        <f>'C5-Capex'!G70</f>
        <v>23744068</v>
      </c>
      <c r="G29" s="660">
        <f>'C5-Capex'!H70</f>
        <v>46717416.666666672</v>
      </c>
      <c r="H29" s="411">
        <f t="shared" si="7"/>
        <v>-22973348.666666672</v>
      </c>
      <c r="I29" s="601">
        <f t="shared" si="8"/>
        <v>-0.49175126335824082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0</v>
      </c>
      <c r="E32" s="672">
        <f>'C5-Capex'!F73</f>
        <v>1087</v>
      </c>
      <c r="F32" s="672">
        <f>'C5-Capex'!G73</f>
        <v>16259676</v>
      </c>
      <c r="G32" s="673">
        <f>'C5-Capex'!H73</f>
        <v>14942680.153893331</v>
      </c>
      <c r="H32" s="672">
        <f t="shared" si="7"/>
        <v>1316995.8461066689</v>
      </c>
      <c r="I32" s="385">
        <f t="shared" si="8"/>
        <v>8.8136521195866208E-2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0</v>
      </c>
      <c r="E33" s="621">
        <f>SUM(E29:E32)</f>
        <v>4858051</v>
      </c>
      <c r="F33" s="621">
        <f>SUM(F29:F32)</f>
        <v>40003744</v>
      </c>
      <c r="G33" s="622">
        <f>SUM(G29:G32)</f>
        <v>61660096.820560001</v>
      </c>
      <c r="H33" s="621">
        <f t="shared" si="7"/>
        <v>-21656352.820560001</v>
      </c>
      <c r="I33" s="604">
        <f t="shared" si="8"/>
        <v>-0.35122151824677134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0</v>
      </c>
      <c r="E36" s="411"/>
      <c r="F36" s="411">
        <f>'C6-FinPos'!F13</f>
        <v>210627132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0</v>
      </c>
      <c r="E37" s="411"/>
      <c r="F37" s="411">
        <f>'C6-FinPos'!F25</f>
        <v>601226748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0</v>
      </c>
      <c r="E38" s="411"/>
      <c r="F38" s="411">
        <f>'C6-FinPos'!F35</f>
        <v>229396596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0</v>
      </c>
      <c r="E39" s="411"/>
      <c r="F39" s="411">
        <f>'C6-FinPos'!F40</f>
        <v>52969114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0</v>
      </c>
      <c r="E40" s="411"/>
      <c r="F40" s="647">
        <f>'C6-FinPos'!F48</f>
        <v>529488170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94062535.941542268</v>
      </c>
      <c r="D43" s="411">
        <f>'C7-CFlow'!E18</f>
        <v>0</v>
      </c>
      <c r="E43" s="411">
        <f>'C7-CFlow'!F18</f>
        <v>-6104801</v>
      </c>
      <c r="F43" s="411">
        <f>'C7-CFlow'!G18</f>
        <v>38852797.997995973</v>
      </c>
      <c r="G43" s="660">
        <f>'C7-CFlow'!H18</f>
        <v>54869812.632566303</v>
      </c>
      <c r="H43" s="411">
        <f>G43-F43</f>
        <v>16017014.63457033</v>
      </c>
      <c r="I43" s="208">
        <f>IF(H43=0,"",H43/G43)</f>
        <v>0.29190941003986443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-59132800.720959991</v>
      </c>
      <c r="D44" s="411">
        <f>'C7-CFlow'!E28</f>
        <v>0</v>
      </c>
      <c r="E44" s="411">
        <f>'C7-CFlow'!F28</f>
        <v>4858051</v>
      </c>
      <c r="F44" s="411">
        <f>'C7-CFlow'!G28</f>
        <v>-17479529</v>
      </c>
      <c r="G44" s="660">
        <f>'C7-CFlow'!H28</f>
        <v>-34494133.753893331</v>
      </c>
      <c r="H44" s="411">
        <f>G44-F44</f>
        <v>-17014604.753893331</v>
      </c>
      <c r="I44" s="208">
        <f>IF(H44=0,"",H44/G44)</f>
        <v>0.49326082154397927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-2200000</v>
      </c>
      <c r="D45" s="411">
        <f>'C7-CFlow'!E37</f>
        <v>0</v>
      </c>
      <c r="E45" s="411">
        <f>'C7-CFlow'!F37</f>
        <v>0</v>
      </c>
      <c r="F45" s="411">
        <f>'C7-CFlow'!G37</f>
        <v>0</v>
      </c>
      <c r="G45" s="660">
        <f>'C7-CFlow'!H37</f>
        <v>-1283333.3333333335</v>
      </c>
      <c r="H45" s="411">
        <f>G45-F45</f>
        <v>-1283333.3333333335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50887182.220582277</v>
      </c>
      <c r="D46" s="647">
        <f>'C7-CFlow'!E41</f>
        <v>0</v>
      </c>
      <c r="E46" s="647">
        <f>'C7-CFlow'!F41</f>
        <v>0</v>
      </c>
      <c r="F46" s="647">
        <f>'C7-CFlow'!G41</f>
        <v>39519761.997995973</v>
      </c>
      <c r="G46" s="677">
        <f>'C7-CFlow'!H41</f>
        <v>37249792.545339644</v>
      </c>
      <c r="H46" s="647">
        <f>G46-F46</f>
        <v>-2269969.4526563287</v>
      </c>
      <c r="I46" s="207">
        <f>IF(H46=0,"",H46/G46)</f>
        <v>-6.0939116637854313E-2</v>
      </c>
      <c r="J46" s="651">
        <f>'C7-CFlow'!K41</f>
        <v>18146493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6169323</v>
      </c>
      <c r="C50" s="659">
        <f>'SC3'!D14</f>
        <v>2852895</v>
      </c>
      <c r="D50" s="411">
        <f>'SC3'!E14</f>
        <v>3120383</v>
      </c>
      <c r="E50" s="411">
        <f>'SC3'!F14</f>
        <v>3036930</v>
      </c>
      <c r="F50" s="411">
        <f>'SC3'!G14</f>
        <v>2789300</v>
      </c>
      <c r="G50" s="660">
        <f>'SC3'!H14</f>
        <v>2497183</v>
      </c>
      <c r="H50" s="411">
        <f>'SC3'!I14</f>
        <v>87497580</v>
      </c>
      <c r="I50" s="660">
        <f>'SC3'!J14</f>
        <v>0</v>
      </c>
      <c r="J50" s="652">
        <f>'SC3'!K14</f>
        <v>107963594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6918092</v>
      </c>
      <c r="C52" s="659">
        <f>'SC4'!D15</f>
        <v>3686999</v>
      </c>
      <c r="D52" s="411">
        <f>'SC4'!E15</f>
        <v>3312375</v>
      </c>
      <c r="E52" s="411">
        <f>'SC4'!F15</f>
        <v>3217882</v>
      </c>
      <c r="F52" s="411">
        <f>'SC4'!G15</f>
        <v>1321585</v>
      </c>
      <c r="G52" s="660">
        <f>'SC4'!H15</f>
        <v>29797</v>
      </c>
      <c r="H52" s="411">
        <f>'SC4'!I15</f>
        <v>421186</v>
      </c>
      <c r="I52" s="660">
        <f>'SC4'!J15</f>
        <v>0</v>
      </c>
      <c r="J52" s="652">
        <f>'SC4'!K15</f>
        <v>18907916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80"/>
      <c r="B55" s="980"/>
      <c r="C55" s="980"/>
      <c r="D55" s="980"/>
      <c r="E55" s="980"/>
      <c r="F55" s="980"/>
      <c r="G55" s="980"/>
      <c r="H55" s="980"/>
      <c r="I55" s="980"/>
      <c r="J55" s="980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C47" activePane="bottomRight" state="frozen"/>
      <selection activeCell="O16" sqref="O16"/>
      <selection pane="topRight" activeCell="O16" sqref="O16"/>
      <selection pane="bottomLeft" activeCell="O16" sqref="O16"/>
      <selection pane="bottomRight" activeCell="E49" sqref="E49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90" t="str">
        <f>muni&amp; " - "&amp;S71A&amp; " - "&amp;date</f>
        <v>NW385 Ramotshere Moiloa - Table C2 Monthly Budget Statement - Financial Performance (standard classification) - M07 January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8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0</v>
      </c>
      <c r="F6" s="647">
        <f t="shared" si="0"/>
        <v>8516363.9500000179</v>
      </c>
      <c r="G6" s="647">
        <f t="shared" si="0"/>
        <v>81541209.100000113</v>
      </c>
      <c r="H6" s="647">
        <f t="shared" si="0"/>
        <v>69551738.842040002</v>
      </c>
      <c r="I6" s="48">
        <f t="shared" ref="I6:I13" si="1">G6-H6</f>
        <v>11989470.257960111</v>
      </c>
      <c r="J6" s="201">
        <f>IF(I6=0,"",I6/H6)</f>
        <v>0.17238203469203806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0</v>
      </c>
      <c r="F7" s="411">
        <f>'C2C'!F7</f>
        <v>0</v>
      </c>
      <c r="G7" s="411">
        <f>'C2C'!G7</f>
        <v>19369805.539999999</v>
      </c>
      <c r="H7" s="411">
        <f>'C2C'!H7</f>
        <v>26122833.333333332</v>
      </c>
      <c r="I7" s="48">
        <f t="shared" si="1"/>
        <v>-6753027.793333333</v>
      </c>
      <c r="J7" s="201">
        <f t="shared" ref="J7:J26" si="2">IF(I7=0,"",I7/H7)</f>
        <v>-0.25851054160791642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0</v>
      </c>
      <c r="F8" s="682">
        <f>'C2C'!F10</f>
        <v>3473363.9500000179</v>
      </c>
      <c r="G8" s="682">
        <f>'C2C'!G10</f>
        <v>52260525.760000117</v>
      </c>
      <c r="H8" s="682">
        <f>'C2C'!H10</f>
        <v>30698822.175373334</v>
      </c>
      <c r="I8" s="48">
        <f t="shared" si="1"/>
        <v>21561703.584626783</v>
      </c>
      <c r="J8" s="201">
        <f t="shared" si="2"/>
        <v>0.70236256822659571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0</v>
      </c>
      <c r="F9" s="411">
        <f>'C2C'!F11</f>
        <v>5043000</v>
      </c>
      <c r="G9" s="411">
        <f>'C2C'!G11</f>
        <v>9910877.8000000007</v>
      </c>
      <c r="H9" s="411">
        <f>'C2C'!H11</f>
        <v>12730083.333333336</v>
      </c>
      <c r="I9" s="48">
        <f t="shared" si="1"/>
        <v>-2819205.5333333351</v>
      </c>
      <c r="J9" s="201">
        <f t="shared" si="2"/>
        <v>-0.22146010041830058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0</v>
      </c>
      <c r="F10" s="647">
        <f t="shared" si="3"/>
        <v>11708.949999999997</v>
      </c>
      <c r="G10" s="647">
        <f t="shared" si="3"/>
        <v>12421254.700000001</v>
      </c>
      <c r="H10" s="647">
        <f t="shared" si="3"/>
        <v>18223454.737751663</v>
      </c>
      <c r="I10" s="48">
        <f t="shared" si="1"/>
        <v>-5802200.0377516616</v>
      </c>
      <c r="J10" s="201">
        <f t="shared" si="2"/>
        <v>-0.31839188130074142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0</v>
      </c>
      <c r="F11" s="411">
        <f>'C2C'!F17</f>
        <v>11708.949999999997</v>
      </c>
      <c r="G11" s="411">
        <f>'C2C'!G17</f>
        <v>11170313.550000001</v>
      </c>
      <c r="H11" s="411">
        <f>'C2C'!H17</f>
        <v>16472288.071084995</v>
      </c>
      <c r="I11" s="48">
        <f t="shared" si="1"/>
        <v>-5301974.5210849941</v>
      </c>
      <c r="J11" s="201">
        <f t="shared" si="2"/>
        <v>-0.32187237730451884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0</v>
      </c>
      <c r="F12" s="411">
        <f>'C2C'!F26</f>
        <v>0</v>
      </c>
      <c r="G12" s="411">
        <f>'C2C'!G26</f>
        <v>1250941.1499999999</v>
      </c>
      <c r="H12" s="411">
        <f>'C2C'!H26</f>
        <v>1751166.6666666665</v>
      </c>
      <c r="I12" s="48">
        <f t="shared" si="1"/>
        <v>-500225.5166666666</v>
      </c>
      <c r="J12" s="201">
        <f t="shared" si="2"/>
        <v>-0.28565271723612828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0</v>
      </c>
      <c r="F16" s="647">
        <f t="shared" si="6"/>
        <v>295491.22000000003</v>
      </c>
      <c r="G16" s="647">
        <f t="shared" si="6"/>
        <v>29087567.259999998</v>
      </c>
      <c r="H16" s="647">
        <f t="shared" si="6"/>
        <v>67569703.015884995</v>
      </c>
      <c r="I16" s="48">
        <f t="shared" si="4"/>
        <v>-38482135.755884998</v>
      </c>
      <c r="J16" s="201">
        <f t="shared" si="5"/>
        <v>-0.56951760979085864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0</v>
      </c>
      <c r="F17" s="411">
        <f>'C2C'!F39</f>
        <v>19485.52</v>
      </c>
      <c r="G17" s="411">
        <f>'C2C'!G39</f>
        <v>19864768.75</v>
      </c>
      <c r="H17" s="411">
        <f>'C2C'!H39</f>
        <v>37129140.96136</v>
      </c>
      <c r="I17" s="48">
        <f t="shared" si="4"/>
        <v>-17264372.21136</v>
      </c>
      <c r="J17" s="201">
        <f t="shared" si="5"/>
        <v>-0.46498173036987023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0</v>
      </c>
      <c r="F18" s="411">
        <f>'C2C'!F43</f>
        <v>276005.7</v>
      </c>
      <c r="G18" s="411">
        <f>'C2C'!G43</f>
        <v>9222798.5099999998</v>
      </c>
      <c r="H18" s="411">
        <f>'C2C'!H43</f>
        <v>30440562.054524995</v>
      </c>
      <c r="I18" s="48">
        <f t="shared" si="4"/>
        <v>-21217763.544524997</v>
      </c>
      <c r="J18" s="201">
        <f t="shared" si="5"/>
        <v>-0.69702272601011228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0</v>
      </c>
      <c r="F20" s="647">
        <f t="shared" si="7"/>
        <v>4113524.8900000048</v>
      </c>
      <c r="G20" s="647">
        <f t="shared" si="7"/>
        <v>71086151.910000056</v>
      </c>
      <c r="H20" s="647">
        <f t="shared" si="7"/>
        <v>55943590.786792427</v>
      </c>
      <c r="I20" s="48">
        <f t="shared" si="7"/>
        <v>15142561.12320761</v>
      </c>
      <c r="J20" s="201">
        <f t="shared" si="2"/>
        <v>0.27067553065940447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0</v>
      </c>
      <c r="F21" s="411">
        <f>'C2C'!F54</f>
        <v>2474289.27</v>
      </c>
      <c r="G21" s="411">
        <f>'C2C'!G54</f>
        <v>54994254.890000001</v>
      </c>
      <c r="H21" s="411">
        <f>'C2C'!H54</f>
        <v>38055076.002731673</v>
      </c>
      <c r="I21" s="48">
        <f>G21-H21</f>
        <v>16939178.887268327</v>
      </c>
      <c r="J21" s="201">
        <f t="shared" si="2"/>
        <v>0.44512271861058422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0</v>
      </c>
      <c r="F22" s="411">
        <f>'C2C'!F57</f>
        <v>838610.39000000374</v>
      </c>
      <c r="G22" s="411">
        <f>'C2C'!G57</f>
        <v>7957684.9700000333</v>
      </c>
      <c r="H22" s="411">
        <f>'C2C'!H57</f>
        <v>6697560.0579066677</v>
      </c>
      <c r="I22" s="48">
        <f>G22-H22</f>
        <v>1260124.9120933656</v>
      </c>
      <c r="J22" s="201">
        <f t="shared" si="2"/>
        <v>0.18814686261838756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0</v>
      </c>
      <c r="F23" s="682">
        <f>'C2C'!F60</f>
        <v>210089.12000000122</v>
      </c>
      <c r="G23" s="682">
        <f>'C2C'!G60</f>
        <v>1436550.7400000014</v>
      </c>
      <c r="H23" s="682">
        <f>'C2C'!H60</f>
        <v>3012058.4761540922</v>
      </c>
      <c r="I23" s="48">
        <f>G23-H23</f>
        <v>-1575507.7361540908</v>
      </c>
      <c r="J23" s="201">
        <f t="shared" si="2"/>
        <v>-0.52306678260966477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0</v>
      </c>
      <c r="F24" s="411">
        <f>'C2C'!F64</f>
        <v>590536.11</v>
      </c>
      <c r="G24" s="411">
        <f>'C2C'!G64</f>
        <v>6697661.3100000108</v>
      </c>
      <c r="H24" s="411">
        <f>'C2C'!H64</f>
        <v>8178896.25</v>
      </c>
      <c r="I24" s="48">
        <f>G24-H24</f>
        <v>-1481234.9399999892</v>
      </c>
      <c r="J24" s="201">
        <f t="shared" si="2"/>
        <v>-0.18110450294561314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0</v>
      </c>
      <c r="F26" s="549">
        <f t="shared" si="8"/>
        <v>12937089.010000022</v>
      </c>
      <c r="G26" s="549">
        <f t="shared" si="8"/>
        <v>194136182.97000018</v>
      </c>
      <c r="H26" s="549">
        <f t="shared" si="8"/>
        <v>211288487.38246909</v>
      </c>
      <c r="I26" s="549">
        <f t="shared" si="8"/>
        <v>-17152304.412468936</v>
      </c>
      <c r="J26" s="609">
        <f t="shared" si="2"/>
        <v>-8.1179550409768736E-2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0</v>
      </c>
      <c r="F29" s="647">
        <f t="shared" si="9"/>
        <v>6131082.6799999997</v>
      </c>
      <c r="G29" s="647">
        <f t="shared" si="9"/>
        <v>53414277.124269605</v>
      </c>
      <c r="H29" s="647">
        <f t="shared" si="9"/>
        <v>34573544.699252859</v>
      </c>
      <c r="I29" s="48">
        <f t="shared" ref="I29:I48" si="10">G29-H29</f>
        <v>18840732.425016746</v>
      </c>
      <c r="J29" s="201">
        <f>IF(I29=0,"",I29/H29)</f>
        <v>0.54494650718946669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0</v>
      </c>
      <c r="F30" s="411">
        <f>'C2C'!F76</f>
        <v>2896713.95</v>
      </c>
      <c r="G30" s="411">
        <f>'C2C'!G76</f>
        <v>18728027.609999999</v>
      </c>
      <c r="H30" s="411">
        <f>'C2C'!H76</f>
        <v>19294087.335667461</v>
      </c>
      <c r="I30" s="48">
        <f t="shared" si="10"/>
        <v>-566059.72566746175</v>
      </c>
      <c r="J30" s="201">
        <f t="shared" ref="J30:J49" si="12">IF(I30=0,"",I30/H30)</f>
        <v>-2.9338507482602284E-2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0</v>
      </c>
      <c r="F31" s="682">
        <f>'C2C'!F79</f>
        <v>2077627.06</v>
      </c>
      <c r="G31" s="682">
        <f>'C2C'!G79</f>
        <v>21334936.174269598</v>
      </c>
      <c r="H31" s="682">
        <f>'C2C'!H79</f>
        <v>711755.35140039772</v>
      </c>
      <c r="I31" s="48">
        <f t="shared" si="10"/>
        <v>20623180.8228692</v>
      </c>
      <c r="J31" s="201">
        <f t="shared" si="12"/>
        <v>28.975097668451021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0</v>
      </c>
      <c r="F32" s="411">
        <f>'C2C'!F80</f>
        <v>1156741.6700000002</v>
      </c>
      <c r="G32" s="411">
        <f>'C2C'!G80</f>
        <v>13351313.34</v>
      </c>
      <c r="H32" s="411">
        <f>'C2C'!H80</f>
        <v>14567702.012185</v>
      </c>
      <c r="I32" s="48">
        <f t="shared" si="10"/>
        <v>-1216388.672185</v>
      </c>
      <c r="J32" s="201">
        <f t="shared" si="12"/>
        <v>-8.3499008365737065E-2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0</v>
      </c>
      <c r="F33" s="647">
        <f t="shared" si="13"/>
        <v>695659.46</v>
      </c>
      <c r="G33" s="647">
        <f t="shared" si="13"/>
        <v>4680875.59</v>
      </c>
      <c r="H33" s="647">
        <f t="shared" si="13"/>
        <v>3494577.5269241664</v>
      </c>
      <c r="I33" s="48">
        <f t="shared" si="10"/>
        <v>1186298.0630758335</v>
      </c>
      <c r="J33" s="201">
        <f t="shared" si="12"/>
        <v>0.33946823441057877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0</v>
      </c>
      <c r="F34" s="411">
        <f>'C2C'!F86</f>
        <v>343840.41000000003</v>
      </c>
      <c r="G34" s="411">
        <f>'C2C'!G86</f>
        <v>2525787.4500000002</v>
      </c>
      <c r="H34" s="411">
        <f>'C2C'!H86</f>
        <v>1346502.5605500001</v>
      </c>
      <c r="I34" s="48">
        <f t="shared" si="10"/>
        <v>1179284.8894500001</v>
      </c>
      <c r="J34" s="201">
        <f t="shared" si="12"/>
        <v>0.87581332854525185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0</v>
      </c>
      <c r="F35" s="411">
        <f>'C2C'!F95</f>
        <v>351819.05</v>
      </c>
      <c r="G35" s="411">
        <f>'C2C'!G95</f>
        <v>2155088.14</v>
      </c>
      <c r="H35" s="411">
        <f>'C2C'!H95</f>
        <v>2148074.9663741663</v>
      </c>
      <c r="I35" s="48">
        <f t="shared" si="10"/>
        <v>7013.1736258338206</v>
      </c>
      <c r="J35" s="201">
        <f t="shared" si="12"/>
        <v>3.2648644649826519E-3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0</v>
      </c>
      <c r="F39" s="647">
        <f t="shared" si="14"/>
        <v>4029506.0199999996</v>
      </c>
      <c r="G39" s="647">
        <f t="shared" si="14"/>
        <v>31091145.369585901</v>
      </c>
      <c r="H39" s="647">
        <f t="shared" si="14"/>
        <v>33301732.456451669</v>
      </c>
      <c r="I39" s="48">
        <f t="shared" si="10"/>
        <v>-2210587.0868657678</v>
      </c>
      <c r="J39" s="201">
        <f t="shared" si="12"/>
        <v>-6.6380543107074974E-2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0</v>
      </c>
      <c r="F40" s="411">
        <f>'C2C'!F108</f>
        <v>2003207.2599999998</v>
      </c>
      <c r="G40" s="411">
        <f>'C2C'!G108</f>
        <v>17890255.337194301</v>
      </c>
      <c r="H40" s="411">
        <f>'C2C'!H108</f>
        <v>7942623.1340458337</v>
      </c>
      <c r="I40" s="48">
        <f t="shared" si="10"/>
        <v>9947632.2031484675</v>
      </c>
      <c r="J40" s="201">
        <f t="shared" si="12"/>
        <v>1.2524366365197686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0</v>
      </c>
      <c r="F41" s="411">
        <f>'C2C'!F112</f>
        <v>2026298.76</v>
      </c>
      <c r="G41" s="411">
        <f>'C2C'!G112</f>
        <v>13200890.0323916</v>
      </c>
      <c r="H41" s="411">
        <f>'C2C'!H112</f>
        <v>25359109.322405837</v>
      </c>
      <c r="I41" s="48">
        <f t="shared" si="10"/>
        <v>-12158219.290014237</v>
      </c>
      <c r="J41" s="201">
        <f t="shared" si="12"/>
        <v>-0.4794418895174658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0</v>
      </c>
      <c r="F43" s="647">
        <f t="shared" si="15"/>
        <v>5091872.91</v>
      </c>
      <c r="G43" s="647">
        <f t="shared" si="15"/>
        <v>43100997.670527801</v>
      </c>
      <c r="H43" s="647">
        <f t="shared" si="15"/>
        <v>74758279.013811246</v>
      </c>
      <c r="I43" s="48">
        <f t="shared" si="15"/>
        <v>-31657281.343283456</v>
      </c>
      <c r="J43" s="201">
        <f t="shared" si="12"/>
        <v>-0.42346187955229575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0</v>
      </c>
      <c r="F44" s="411">
        <f>'C2C'!F123</f>
        <v>3400132.8800000004</v>
      </c>
      <c r="G44" s="411">
        <f>'C2C'!G123</f>
        <v>29865994.057339299</v>
      </c>
      <c r="H44" s="411">
        <f>'C2C'!H123</f>
        <v>59182892.059346095</v>
      </c>
      <c r="I44" s="48">
        <f t="shared" si="10"/>
        <v>-29316898.002006795</v>
      </c>
      <c r="J44" s="201">
        <f t="shared" si="12"/>
        <v>-0.49536102380074726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0</v>
      </c>
      <c r="F45" s="411">
        <f>'C2C'!F126</f>
        <v>545344.54</v>
      </c>
      <c r="G45" s="411">
        <f>'C2C'!G126</f>
        <v>4163426.4921137402</v>
      </c>
      <c r="H45" s="411">
        <f>'C2C'!H126</f>
        <v>4632768.5736500006</v>
      </c>
      <c r="I45" s="48">
        <f t="shared" si="10"/>
        <v>-469342.08153626043</v>
      </c>
      <c r="J45" s="201">
        <f t="shared" si="12"/>
        <v>-0.10130920076728153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0</v>
      </c>
      <c r="F46" s="682">
        <f>'C2C'!F129</f>
        <v>841010.56</v>
      </c>
      <c r="G46" s="682">
        <f>'C2C'!G129</f>
        <v>6629060.05107476</v>
      </c>
      <c r="H46" s="682">
        <f>'C2C'!H129</f>
        <v>7315254.9714000877</v>
      </c>
      <c r="I46" s="48">
        <f t="shared" si="10"/>
        <v>-686194.92032532766</v>
      </c>
      <c r="J46" s="201">
        <f t="shared" si="12"/>
        <v>-9.3803281363136801E-2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0</v>
      </c>
      <c r="F47" s="411">
        <f>'C2C'!F133</f>
        <v>305384.93000000005</v>
      </c>
      <c r="G47" s="411">
        <f>'C2C'!G133</f>
        <v>2442517.0700000003</v>
      </c>
      <c r="H47" s="411">
        <f>'C2C'!H133</f>
        <v>3627363.4094150723</v>
      </c>
      <c r="I47" s="48">
        <f t="shared" si="10"/>
        <v>-1184846.339415072</v>
      </c>
      <c r="J47" s="201">
        <f t="shared" si="12"/>
        <v>-0.32664120069682612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0</v>
      </c>
      <c r="F49" s="549">
        <f t="shared" si="16"/>
        <v>15948121.07</v>
      </c>
      <c r="G49" s="549">
        <f t="shared" si="16"/>
        <v>132287295.75438331</v>
      </c>
      <c r="H49" s="549">
        <f t="shared" si="16"/>
        <v>146128133.69643992</v>
      </c>
      <c r="I49" s="549">
        <f t="shared" si="16"/>
        <v>-13840837.942056645</v>
      </c>
      <c r="J49" s="609">
        <f t="shared" si="12"/>
        <v>-9.4717133463217876E-2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0</v>
      </c>
      <c r="F50" s="644">
        <f t="shared" si="17"/>
        <v>-3011032.0599999782</v>
      </c>
      <c r="G50" s="644">
        <f t="shared" si="17"/>
        <v>61848887.215616867</v>
      </c>
      <c r="H50" s="644">
        <f t="shared" si="17"/>
        <v>65160353.686029166</v>
      </c>
      <c r="I50" s="644">
        <f>I26-I49</f>
        <v>-3311466.4704122916</v>
      </c>
      <c r="J50" s="648">
        <f>IF(I50=0,"",I50/H50)</f>
        <v>-5.082026543883375E-2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91" t="s">
        <v>172</v>
      </c>
      <c r="B55" s="991"/>
      <c r="C55" s="991"/>
      <c r="D55" s="991"/>
      <c r="E55" s="991"/>
      <c r="F55" s="991"/>
      <c r="G55" s="991"/>
      <c r="H55" s="991"/>
      <c r="I55" s="991"/>
      <c r="J55" s="991"/>
      <c r="K55" s="991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5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Normal="100" zoomScaleSheetLayoutView="100" workbookViewId="0">
      <pane xSplit="2" ySplit="4" topLeftCell="C5" activePane="bottomRight" state="frozen"/>
      <selection activeCell="O16" sqref="O16"/>
      <selection pane="topRight" activeCell="O16" sqref="O16"/>
      <selection pane="bottomLeft" activeCell="O16" sqref="O16"/>
      <selection pane="bottomRight" activeCell="H121" sqref="H121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90" t="str">
        <f>muni&amp; " - "&amp;S71A&amp; " - "&amp;date</f>
        <v>NW385 Ramotshere Moiloa - Table C2 Monthly Budget Statement - Financial Performance (standard classification) - M07 January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</row>
    <row r="2" spans="1:12" ht="13.5" customHeight="1" x14ac:dyDescent="0.25">
      <c r="A2" s="988" t="str">
        <f>desc</f>
        <v>Description</v>
      </c>
      <c r="B2" s="986" t="str">
        <f>head27</f>
        <v>Ref</v>
      </c>
      <c r="C2" s="24" t="str">
        <f>Head1</f>
        <v>2014/15</v>
      </c>
      <c r="D2" s="232" t="str">
        <f>Head2</f>
        <v>Budget Year 2015/16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9"/>
      <c r="B3" s="987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0</v>
      </c>
      <c r="F6" s="615">
        <f t="shared" si="0"/>
        <v>8516363.9500000179</v>
      </c>
      <c r="G6" s="615">
        <f t="shared" si="0"/>
        <v>81541209.100000113</v>
      </c>
      <c r="H6" s="615">
        <f t="shared" si="0"/>
        <v>69551738.842040002</v>
      </c>
      <c r="I6" s="642">
        <f>G6-H6</f>
        <v>11989470.257960111</v>
      </c>
      <c r="J6" s="643">
        <f>IF(I6=0,"",I6/H6)</f>
        <v>0.17238203469203806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 t="shared" ref="D7:K7" si="1">SUM(D8:D9)</f>
        <v>44782000</v>
      </c>
      <c r="E7" s="618">
        <f t="shared" si="1"/>
        <v>0</v>
      </c>
      <c r="F7" s="618">
        <f>F8+F9</f>
        <v>0</v>
      </c>
      <c r="G7" s="618">
        <f>G8+G9</f>
        <v>19369805.539999999</v>
      </c>
      <c r="H7" s="618">
        <f>H8+H9</f>
        <v>26122833.333333332</v>
      </c>
      <c r="I7" s="618">
        <f t="shared" ref="I7:I70" si="2">G7-H7</f>
        <v>-6753027.793333333</v>
      </c>
      <c r="J7" s="618">
        <f t="shared" ref="J7:J70" si="3">IF(I7=0,"",I7/H7)</f>
        <v>-0.25851054160791642</v>
      </c>
      <c r="K7" s="620">
        <f t="shared" si="1"/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/>
      <c r="F8" s="747"/>
      <c r="G8" s="747">
        <v>12575098.690000001</v>
      </c>
      <c r="H8" s="747">
        <f>D8/12*7</f>
        <v>17605000</v>
      </c>
      <c r="I8" s="411">
        <f>G8-H8</f>
        <v>-5029901.3099999987</v>
      </c>
      <c r="J8" s="411">
        <f>IF(I8=0,"",I8/H8)</f>
        <v>-0.28570867992047705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/>
      <c r="F9" s="747"/>
      <c r="G9" s="747">
        <v>6794706.8499999996</v>
      </c>
      <c r="H9" s="747">
        <f>D9/12*7</f>
        <v>8517833.3333333321</v>
      </c>
      <c r="I9" s="411">
        <f>G9-H9</f>
        <v>-1723126.4833333325</v>
      </c>
      <c r="J9" s="411">
        <f>IF(I9=0,"",I9/H9)</f>
        <v>-0.20229633709667943</v>
      </c>
      <c r="K9" s="749"/>
      <c r="L9" s="101"/>
    </row>
    <row r="10" spans="1:12" x14ac:dyDescent="0.25">
      <c r="A10" s="617" t="s">
        <v>119</v>
      </c>
      <c r="B10" s="418"/>
      <c r="C10" s="748">
        <f>2011850+88409+741056+21843139+1600000+934000+102166000+691673</f>
        <v>130076127</v>
      </c>
      <c r="D10" s="748">
        <v>52626552.300640002</v>
      </c>
      <c r="E10" s="748"/>
      <c r="F10" s="748">
        <v>3473363.9500000179</v>
      </c>
      <c r="G10" s="748">
        <f>22408161.8100001+F10+26379000</f>
        <v>52260525.760000117</v>
      </c>
      <c r="H10" s="747">
        <f>D10/12*7</f>
        <v>30698822.175373334</v>
      </c>
      <c r="I10" s="618">
        <f t="shared" si="2"/>
        <v>21561703.584626783</v>
      </c>
      <c r="J10" s="618">
        <f t="shared" si="3"/>
        <v>0.70236256822659571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4">SUM(D12:D15)</f>
        <v>21823000</v>
      </c>
      <c r="E11" s="618">
        <f t="shared" si="4"/>
        <v>0</v>
      </c>
      <c r="F11" s="618">
        <f t="shared" si="4"/>
        <v>5043000</v>
      </c>
      <c r="G11" s="618">
        <f t="shared" si="4"/>
        <v>9910877.8000000007</v>
      </c>
      <c r="H11" s="618">
        <f t="shared" si="4"/>
        <v>12730083.333333336</v>
      </c>
      <c r="I11" s="618">
        <f t="shared" si="2"/>
        <v>-2819205.5333333351</v>
      </c>
      <c r="J11" s="618">
        <f t="shared" si="3"/>
        <v>-0.22146010041830058</v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>
        <f>129801+2050068</f>
        <v>2179869</v>
      </c>
      <c r="D12" s="747">
        <v>12738000</v>
      </c>
      <c r="E12" s="747"/>
      <c r="F12" s="747">
        <v>5043000</v>
      </c>
      <c r="G12" s="747">
        <f>4867877.8+F12</f>
        <v>9910877.8000000007</v>
      </c>
      <c r="H12" s="747">
        <f>D12/12*7</f>
        <v>7430500</v>
      </c>
      <c r="I12" s="411">
        <f t="shared" si="2"/>
        <v>2480377.8000000007</v>
      </c>
      <c r="J12" s="411">
        <f t="shared" si="3"/>
        <v>0.33381034923625608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/>
      <c r="F13" s="747"/>
      <c r="G13" s="747"/>
      <c r="H13" s="747">
        <f>D13/12*7</f>
        <v>2424916.666666667</v>
      </c>
      <c r="I13" s="411">
        <f t="shared" si="2"/>
        <v>-2424916.666666667</v>
      </c>
      <c r="J13" s="411">
        <f t="shared" si="3"/>
        <v>-1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747">
        <f t="shared" ref="H14" si="5">D14/2</f>
        <v>0</v>
      </c>
      <c r="I14" s="411">
        <f t="shared" si="2"/>
        <v>0</v>
      </c>
      <c r="J14" s="411" t="str">
        <f t="shared" si="3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/>
      <c r="H15" s="747">
        <f>D15/12*7</f>
        <v>2874666.666666667</v>
      </c>
      <c r="I15" s="411">
        <f t="shared" si="2"/>
        <v>-2874666.666666667</v>
      </c>
      <c r="J15" s="411">
        <f t="shared" si="3"/>
        <v>-1</v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6">D17+D26+D27+D33+D34</f>
        <v>31240208.12185999</v>
      </c>
      <c r="E16" s="615">
        <f t="shared" si="6"/>
        <v>0</v>
      </c>
      <c r="F16" s="615">
        <f t="shared" si="6"/>
        <v>11708.949999999997</v>
      </c>
      <c r="G16" s="615">
        <f t="shared" si="6"/>
        <v>12421254.700000001</v>
      </c>
      <c r="H16" s="615">
        <f t="shared" si="6"/>
        <v>18223454.737751663</v>
      </c>
      <c r="I16" s="615">
        <f t="shared" si="2"/>
        <v>-5802200.0377516616</v>
      </c>
      <c r="J16" s="615">
        <f t="shared" si="3"/>
        <v>-0.31839188130074142</v>
      </c>
      <c r="K16" s="616">
        <f t="shared" si="6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7">SUM(D18:D25)</f>
        <v>28238208.12185999</v>
      </c>
      <c r="E17" s="621">
        <f t="shared" si="7"/>
        <v>0</v>
      </c>
      <c r="F17" s="621">
        <f t="shared" si="7"/>
        <v>11708.949999999997</v>
      </c>
      <c r="G17" s="621">
        <f t="shared" si="7"/>
        <v>11170313.550000001</v>
      </c>
      <c r="H17" s="621">
        <f t="shared" si="7"/>
        <v>16472288.071084995</v>
      </c>
      <c r="I17" s="621">
        <f t="shared" si="2"/>
        <v>-5301974.5210849941</v>
      </c>
      <c r="J17" s="621">
        <f t="shared" si="3"/>
        <v>-0.32187237730451884</v>
      </c>
      <c r="K17" s="624">
        <f t="shared" si="7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/>
      <c r="F18" s="747">
        <v>100</v>
      </c>
      <c r="G18" s="747">
        <f>31466.16+F18</f>
        <v>31566.16</v>
      </c>
      <c r="H18" s="747">
        <f>D18/12*7</f>
        <v>661808.40895166667</v>
      </c>
      <c r="I18" s="411">
        <f t="shared" si="2"/>
        <v>-630242.24895166664</v>
      </c>
      <c r="J18" s="411">
        <f t="shared" si="3"/>
        <v>-0.95230317479646076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/>
      <c r="F19" s="747"/>
      <c r="G19" s="747"/>
      <c r="H19" s="747">
        <f t="shared" ref="H19:H23" si="8">D19/2</f>
        <v>0</v>
      </c>
      <c r="I19" s="411">
        <f t="shared" si="2"/>
        <v>0</v>
      </c>
      <c r="J19" s="411" t="str">
        <f t="shared" si="3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/>
      <c r="F20" s="747"/>
      <c r="G20" s="747"/>
      <c r="H20" s="747">
        <f t="shared" si="8"/>
        <v>0</v>
      </c>
      <c r="I20" s="411">
        <f t="shared" si="2"/>
        <v>0</v>
      </c>
      <c r="J20" s="411" t="str">
        <f t="shared" si="3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/>
      <c r="F21" s="747">
        <v>11608.949999999997</v>
      </c>
      <c r="G21" s="747">
        <f>237965.23+F21</f>
        <v>249574.18</v>
      </c>
      <c r="H21" s="747">
        <f>D21/12*7</f>
        <v>300181.11415832781</v>
      </c>
      <c r="I21" s="411">
        <f t="shared" si="2"/>
        <v>-50606.934158327815</v>
      </c>
      <c r="J21" s="411">
        <f t="shared" si="3"/>
        <v>-0.16858800161437087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/>
      <c r="F22" s="747"/>
      <c r="G22" s="747"/>
      <c r="H22" s="747">
        <f t="shared" si="8"/>
        <v>0</v>
      </c>
      <c r="I22" s="411">
        <f t="shared" si="2"/>
        <v>0</v>
      </c>
      <c r="J22" s="411" t="str">
        <f t="shared" si="3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/>
      <c r="F23" s="747"/>
      <c r="G23" s="747"/>
      <c r="H23" s="747">
        <f t="shared" si="8"/>
        <v>0</v>
      </c>
      <c r="I23" s="411">
        <f t="shared" si="2"/>
        <v>0</v>
      </c>
      <c r="J23" s="411" t="str">
        <f t="shared" si="3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/>
      <c r="F24" s="747"/>
      <c r="G24" s="747"/>
      <c r="H24" s="747">
        <f>D24/12*7</f>
        <v>1167833.3333333335</v>
      </c>
      <c r="I24" s="411">
        <f t="shared" si="2"/>
        <v>-1167833.3333333335</v>
      </c>
      <c r="J24" s="411">
        <f t="shared" si="3"/>
        <v>-1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10889173.210000001</v>
      </c>
      <c r="H25" s="747">
        <f>D25/12*7</f>
        <v>14342465.214641666</v>
      </c>
      <c r="I25" s="411">
        <f t="shared" si="2"/>
        <v>-3453292.0046416651</v>
      </c>
      <c r="J25" s="411">
        <f t="shared" si="3"/>
        <v>-0.24077395015163316</v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/>
      <c r="F26" s="747"/>
      <c r="G26" s="747">
        <v>1250941.1499999999</v>
      </c>
      <c r="H26" s="747">
        <f>D26/12*7</f>
        <v>1751166.6666666665</v>
      </c>
      <c r="I26" s="411">
        <f t="shared" si="2"/>
        <v>-500225.5166666666</v>
      </c>
      <c r="J26" s="411">
        <f t="shared" si="3"/>
        <v>-0.28565271723612828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9">SUM(D28:D32)</f>
        <v>0</v>
      </c>
      <c r="E27" s="621">
        <f t="shared" si="9"/>
        <v>0</v>
      </c>
      <c r="F27" s="621">
        <f t="shared" si="9"/>
        <v>0</v>
      </c>
      <c r="G27" s="621">
        <f t="shared" si="9"/>
        <v>0</v>
      </c>
      <c r="H27" s="621">
        <f t="shared" si="9"/>
        <v>0</v>
      </c>
      <c r="I27" s="621">
        <f t="shared" si="2"/>
        <v>0</v>
      </c>
      <c r="J27" s="621" t="str">
        <f t="shared" si="3"/>
        <v/>
      </c>
      <c r="K27" s="624">
        <f t="shared" si="9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0">SUM(D35:D37)</f>
        <v>0</v>
      </c>
      <c r="E34" s="621">
        <f t="shared" si="10"/>
        <v>0</v>
      </c>
      <c r="F34" s="621">
        <f t="shared" si="10"/>
        <v>0</v>
      </c>
      <c r="G34" s="621">
        <f t="shared" si="10"/>
        <v>0</v>
      </c>
      <c r="H34" s="621">
        <f t="shared" si="10"/>
        <v>0</v>
      </c>
      <c r="I34" s="621">
        <f t="shared" si="2"/>
        <v>0</v>
      </c>
      <c r="J34" s="621" t="str">
        <f t="shared" si="3"/>
        <v/>
      </c>
      <c r="K34" s="624">
        <f t="shared" si="10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11">D39+D43+D49</f>
        <v>115833776.59865999</v>
      </c>
      <c r="E38" s="615">
        <f t="shared" si="11"/>
        <v>0</v>
      </c>
      <c r="F38" s="615">
        <f t="shared" si="11"/>
        <v>295491.22000000003</v>
      </c>
      <c r="G38" s="615">
        <f t="shared" si="11"/>
        <v>29087567.259999998</v>
      </c>
      <c r="H38" s="615">
        <f t="shared" si="11"/>
        <v>67569703.015884995</v>
      </c>
      <c r="I38" s="615">
        <f t="shared" si="2"/>
        <v>-38482135.755884998</v>
      </c>
      <c r="J38" s="615">
        <f t="shared" si="3"/>
        <v>-0.56951760979085864</v>
      </c>
      <c r="K38" s="616">
        <f t="shared" si="11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2">SUM(D40:D42)</f>
        <v>63649955.933760002</v>
      </c>
      <c r="E39" s="621">
        <f t="shared" si="12"/>
        <v>0</v>
      </c>
      <c r="F39" s="621">
        <f t="shared" si="12"/>
        <v>19485.52</v>
      </c>
      <c r="G39" s="621">
        <f t="shared" si="12"/>
        <v>19864768.75</v>
      </c>
      <c r="H39" s="621">
        <f t="shared" si="12"/>
        <v>37129140.96136</v>
      </c>
      <c r="I39" s="621">
        <f t="shared" si="2"/>
        <v>-17264372.21136</v>
      </c>
      <c r="J39" s="621">
        <f t="shared" si="3"/>
        <v>-0.46498173036987023</v>
      </c>
      <c r="K39" s="624">
        <f t="shared" si="12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/>
      <c r="F40" s="747">
        <v>16105.52</v>
      </c>
      <c r="G40" s="747">
        <f>10898490.42+F40</f>
        <v>10914595.939999999</v>
      </c>
      <c r="H40" s="747">
        <f>D40/12*7</f>
        <v>14851231.173543334</v>
      </c>
      <c r="I40" s="411">
        <f t="shared" si="2"/>
        <v>-3936635.2335433345</v>
      </c>
      <c r="J40" s="411">
        <f t="shared" si="3"/>
        <v>-0.26507130537138479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/>
      <c r="F41" s="747">
        <v>3380</v>
      </c>
      <c r="G41" s="747">
        <f>8946792.81+F41</f>
        <v>8950172.8100000005</v>
      </c>
      <c r="H41" s="747">
        <f>D41/12*7</f>
        <v>22277909.787816666</v>
      </c>
      <c r="I41" s="411">
        <f t="shared" si="2"/>
        <v>-13327736.977816666</v>
      </c>
      <c r="J41" s="411">
        <f t="shared" si="3"/>
        <v>-0.59824898766334589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 t="shared" ref="H42" si="13">D42/12*6</f>
        <v>0</v>
      </c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4">SUM(D44:D48)</f>
        <v>52183820.664899997</v>
      </c>
      <c r="E43" s="621">
        <f t="shared" si="14"/>
        <v>0</v>
      </c>
      <c r="F43" s="621">
        <f t="shared" si="14"/>
        <v>276005.7</v>
      </c>
      <c r="G43" s="621">
        <f t="shared" si="14"/>
        <v>9222798.5099999998</v>
      </c>
      <c r="H43" s="621">
        <f t="shared" si="14"/>
        <v>30440562.054524995</v>
      </c>
      <c r="I43" s="621">
        <f t="shared" si="2"/>
        <v>-21217763.544524997</v>
      </c>
      <c r="J43" s="621">
        <f t="shared" si="3"/>
        <v>-0.69702272601011228</v>
      </c>
      <c r="K43" s="624">
        <f t="shared" si="14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2"/>
        <v>0</v>
      </c>
      <c r="J44" s="411" t="str">
        <f t="shared" si="3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/>
      <c r="F47" s="747">
        <v>276005.7</v>
      </c>
      <c r="G47" s="747">
        <f>8946792.81+F47</f>
        <v>9222798.5099999998</v>
      </c>
      <c r="H47" s="747">
        <f>D47/12*7</f>
        <v>30440562.054524995</v>
      </c>
      <c r="I47" s="411">
        <f t="shared" si="2"/>
        <v>-21217763.544524997</v>
      </c>
      <c r="J47" s="411">
        <f t="shared" si="3"/>
        <v>-0.69702272601011228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/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5">SUM(D50:D52)</f>
        <v>0</v>
      </c>
      <c r="E49" s="621">
        <f t="shared" si="15"/>
        <v>0</v>
      </c>
      <c r="F49" s="621">
        <f t="shared" si="15"/>
        <v>0</v>
      </c>
      <c r="G49" s="621">
        <f t="shared" si="15"/>
        <v>0</v>
      </c>
      <c r="H49" s="621">
        <f t="shared" si="15"/>
        <v>0</v>
      </c>
      <c r="I49" s="621">
        <f t="shared" si="2"/>
        <v>0</v>
      </c>
      <c r="J49" s="621" t="str">
        <f t="shared" si="3"/>
        <v/>
      </c>
      <c r="K49" s="624">
        <f t="shared" si="15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6">D54+D57+D60+D64</f>
        <v>95903298.491644159</v>
      </c>
      <c r="E53" s="615">
        <f t="shared" si="16"/>
        <v>0</v>
      </c>
      <c r="F53" s="615">
        <f t="shared" si="16"/>
        <v>4113524.8900000048</v>
      </c>
      <c r="G53" s="615">
        <f t="shared" si="16"/>
        <v>71086151.910000056</v>
      </c>
      <c r="H53" s="615">
        <f t="shared" si="16"/>
        <v>55943590.786792427</v>
      </c>
      <c r="I53" s="615">
        <f t="shared" si="16"/>
        <v>15142561.12320761</v>
      </c>
      <c r="J53" s="615">
        <f t="shared" si="3"/>
        <v>0.27067553065940447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7">SUM(D55:D56)</f>
        <v>65237273.147540003</v>
      </c>
      <c r="E54" s="621">
        <f t="shared" si="17"/>
        <v>0</v>
      </c>
      <c r="F54" s="621">
        <f t="shared" si="17"/>
        <v>2474289.27</v>
      </c>
      <c r="G54" s="621">
        <f t="shared" si="17"/>
        <v>54994254.890000001</v>
      </c>
      <c r="H54" s="621">
        <f t="shared" si="17"/>
        <v>38055076.002731673</v>
      </c>
      <c r="I54" s="621">
        <f t="shared" si="2"/>
        <v>16939178.887268327</v>
      </c>
      <c r="J54" s="621">
        <f t="shared" si="3"/>
        <v>0.44512271861058422</v>
      </c>
      <c r="K54" s="624">
        <f t="shared" si="17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/>
      <c r="F55" s="747">
        <v>2474289.27</v>
      </c>
      <c r="G55" s="747">
        <v>54994254.890000001</v>
      </c>
      <c r="H55" s="747">
        <f>D55/12*7</f>
        <v>38055076.002731673</v>
      </c>
      <c r="I55" s="411">
        <f t="shared" si="2"/>
        <v>16939178.887268327</v>
      </c>
      <c r="J55" s="411">
        <f t="shared" si="3"/>
        <v>0.44512271861058422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8">SUM(D58:D59)</f>
        <v>11481531.527840002</v>
      </c>
      <c r="E57" s="621">
        <f t="shared" si="18"/>
        <v>0</v>
      </c>
      <c r="F57" s="621">
        <f t="shared" si="18"/>
        <v>838610.39000000374</v>
      </c>
      <c r="G57" s="621">
        <f t="shared" si="18"/>
        <v>7957684.9700000333</v>
      </c>
      <c r="H57" s="621">
        <f t="shared" si="18"/>
        <v>6697560.0579066677</v>
      </c>
      <c r="I57" s="621">
        <f t="shared" si="2"/>
        <v>1260124.9120933656</v>
      </c>
      <c r="J57" s="621">
        <f t="shared" si="3"/>
        <v>0.18814686261838756</v>
      </c>
      <c r="K57" s="624">
        <f t="shared" si="18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/>
      <c r="F58" s="747">
        <v>838610.39000000374</v>
      </c>
      <c r="G58" s="747">
        <f>7119074.58000003+F58</f>
        <v>7957684.9700000333</v>
      </c>
      <c r="H58" s="747">
        <f>D58/12*7</f>
        <v>6697560.0579066677</v>
      </c>
      <c r="I58" s="411">
        <f t="shared" si="2"/>
        <v>1260124.9120933656</v>
      </c>
      <c r="J58" s="411">
        <f t="shared" si="3"/>
        <v>0.18814686261838756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9">SUM(D61:D63)</f>
        <v>5163528.8162641581</v>
      </c>
      <c r="E60" s="621">
        <f t="shared" si="19"/>
        <v>0</v>
      </c>
      <c r="F60" s="621">
        <f t="shared" si="19"/>
        <v>210089.12000000122</v>
      </c>
      <c r="G60" s="621">
        <f t="shared" si="19"/>
        <v>1436550.7400000014</v>
      </c>
      <c r="H60" s="621">
        <f t="shared" si="19"/>
        <v>3012058.4761540922</v>
      </c>
      <c r="I60" s="621">
        <f t="shared" si="2"/>
        <v>-1575507.7361540908</v>
      </c>
      <c r="J60" s="621">
        <f t="shared" si="3"/>
        <v>-0.52306678260966477</v>
      </c>
      <c r="K60" s="624">
        <f t="shared" si="19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/>
      <c r="F61" s="747">
        <v>210089.12000000122</v>
      </c>
      <c r="G61" s="747">
        <f>1226461.62+F61</f>
        <v>1436550.7400000014</v>
      </c>
      <c r="H61" s="747">
        <f>D61/12*7</f>
        <v>3012058.4761540922</v>
      </c>
      <c r="I61" s="411">
        <f t="shared" si="2"/>
        <v>-1575507.7361540908</v>
      </c>
      <c r="J61" s="411">
        <f t="shared" si="3"/>
        <v>-0.52306678260966477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20">SUM(D65)</f>
        <v>14020965</v>
      </c>
      <c r="E64" s="621">
        <f t="shared" si="20"/>
        <v>0</v>
      </c>
      <c r="F64" s="621">
        <f t="shared" si="20"/>
        <v>590536.11</v>
      </c>
      <c r="G64" s="621">
        <f t="shared" si="20"/>
        <v>6697661.3100000108</v>
      </c>
      <c r="H64" s="621">
        <f t="shared" si="20"/>
        <v>8178896.25</v>
      </c>
      <c r="I64" s="621">
        <f t="shared" si="2"/>
        <v>-1481234.9399999892</v>
      </c>
      <c r="J64" s="621">
        <f t="shared" si="3"/>
        <v>-0.18110450294561314</v>
      </c>
      <c r="K64" s="624">
        <f t="shared" si="20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/>
      <c r="F65" s="747">
        <v>590536.11</v>
      </c>
      <c r="G65" s="747">
        <f>6107125.20000001+F65</f>
        <v>6697661.3100000108</v>
      </c>
      <c r="H65" s="747">
        <f>D65/12*7</f>
        <v>8178896.25</v>
      </c>
      <c r="I65" s="411">
        <f t="shared" si="2"/>
        <v>-1481234.9399999892</v>
      </c>
      <c r="J65" s="411">
        <f t="shared" si="3"/>
        <v>-0.18110450294561314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1">SUM(D67:D71)</f>
        <v>0</v>
      </c>
      <c r="E66" s="621">
        <f t="shared" si="21"/>
        <v>0</v>
      </c>
      <c r="F66" s="621">
        <f t="shared" si="21"/>
        <v>0</v>
      </c>
      <c r="G66" s="621">
        <f t="shared" si="21"/>
        <v>0</v>
      </c>
      <c r="H66" s="621">
        <f t="shared" si="21"/>
        <v>0</v>
      </c>
      <c r="I66" s="621">
        <f t="shared" si="2"/>
        <v>0</v>
      </c>
      <c r="J66" s="621" t="str">
        <f t="shared" si="3"/>
        <v/>
      </c>
      <c r="K66" s="624">
        <f t="shared" si="21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2">C6+C16+C38+C53+C66</f>
        <v>259573523</v>
      </c>
      <c r="D72" s="626">
        <f t="shared" si="22"/>
        <v>362208835.51280415</v>
      </c>
      <c r="E72" s="626">
        <f t="shared" si="22"/>
        <v>0</v>
      </c>
      <c r="F72" s="626">
        <f t="shared" si="22"/>
        <v>12937089.010000022</v>
      </c>
      <c r="G72" s="626">
        <f t="shared" si="22"/>
        <v>194136182.97000018</v>
      </c>
      <c r="H72" s="626">
        <f t="shared" si="22"/>
        <v>211288487.38246909</v>
      </c>
      <c r="I72" s="626">
        <f>G72-H72</f>
        <v>-17152304.41246891</v>
      </c>
      <c r="J72" s="626">
        <f>IF(I72=0,"",I72/H72)</f>
        <v>-8.1179550409768625E-2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3">C76+C79+C80</f>
        <v>222905658</v>
      </c>
      <c r="D75" s="615">
        <f t="shared" si="23"/>
        <v>117836231.25680906</v>
      </c>
      <c r="E75" s="615">
        <f t="shared" si="23"/>
        <v>0</v>
      </c>
      <c r="F75" s="615">
        <f t="shared" si="23"/>
        <v>6131082.6799999997</v>
      </c>
      <c r="G75" s="615">
        <f t="shared" si="23"/>
        <v>53414277.124269605</v>
      </c>
      <c r="H75" s="615">
        <f t="shared" si="23"/>
        <v>34573544.699252859</v>
      </c>
      <c r="I75" s="615">
        <f t="shared" ref="I75:I138" si="24">G75-H75</f>
        <v>18840732.425016746</v>
      </c>
      <c r="J75" s="615">
        <f t="shared" ref="J75:J138" si="25">IF(I75=0,"",I75/H75)</f>
        <v>0.54494650718946669</v>
      </c>
      <c r="K75" s="616">
        <f t="shared" si="23"/>
        <v>0</v>
      </c>
      <c r="L75" s="101"/>
    </row>
    <row r="76" spans="1:12" x14ac:dyDescent="0.25">
      <c r="A76" s="617" t="str">
        <f t="shared" ref="A76:A139" si="26">A7</f>
        <v>Executive and council</v>
      </c>
      <c r="B76" s="630"/>
      <c r="C76" s="618">
        <f t="shared" ref="C76:K76" si="27">SUM(C77:C78)</f>
        <v>22018516</v>
      </c>
      <c r="D76" s="618">
        <f t="shared" si="27"/>
        <v>33075578.289715648</v>
      </c>
      <c r="E76" s="618">
        <f t="shared" si="27"/>
        <v>0</v>
      </c>
      <c r="F76" s="618">
        <f t="shared" si="27"/>
        <v>2896713.95</v>
      </c>
      <c r="G76" s="618">
        <f t="shared" si="27"/>
        <v>18728027.609999999</v>
      </c>
      <c r="H76" s="618">
        <f t="shared" si="27"/>
        <v>19294087.335667461</v>
      </c>
      <c r="I76" s="618">
        <f t="shared" si="24"/>
        <v>-566059.72566746175</v>
      </c>
      <c r="J76" s="618">
        <f t="shared" si="25"/>
        <v>-2.9338507482602284E-2</v>
      </c>
      <c r="K76" s="620">
        <f t="shared" si="27"/>
        <v>0</v>
      </c>
      <c r="L76" s="101"/>
    </row>
    <row r="77" spans="1:12" x14ac:dyDescent="0.25">
      <c r="A77" s="705" t="str">
        <f t="shared" si="26"/>
        <v>Mayor and Council</v>
      </c>
      <c r="B77" s="630"/>
      <c r="C77" s="747">
        <f>11421583+3394041</f>
        <v>14815624</v>
      </c>
      <c r="D77" s="747">
        <v>26021258.381915648</v>
      </c>
      <c r="E77" s="747"/>
      <c r="F77" s="747">
        <v>2459852.62</v>
      </c>
      <c r="G77" s="747">
        <f>15831313.66+F77</f>
        <v>18291166.280000001</v>
      </c>
      <c r="H77" s="747">
        <f>D77/12*7</f>
        <v>15179067.389450796</v>
      </c>
      <c r="I77" s="411">
        <f t="shared" si="24"/>
        <v>3112098.8905492052</v>
      </c>
      <c r="J77" s="411">
        <f t="shared" si="25"/>
        <v>0.20502569826602543</v>
      </c>
      <c r="K77" s="749"/>
      <c r="L77" s="101"/>
    </row>
    <row r="78" spans="1:12" x14ac:dyDescent="0.25">
      <c r="A78" s="705" t="str">
        <f t="shared" si="26"/>
        <v>Municipal Manager</v>
      </c>
      <c r="B78" s="630"/>
      <c r="C78" s="747">
        <v>7202892</v>
      </c>
      <c r="D78" s="747">
        <v>7054319.9078000002</v>
      </c>
      <c r="E78" s="747"/>
      <c r="F78" s="747">
        <v>436861.33</v>
      </c>
      <c r="G78" s="747">
        <f>F78</f>
        <v>436861.33</v>
      </c>
      <c r="H78" s="747">
        <f>D78/12*7</f>
        <v>4115019.9462166666</v>
      </c>
      <c r="I78" s="411">
        <f t="shared" si="24"/>
        <v>-3678158.6162166665</v>
      </c>
      <c r="J78" s="411">
        <f t="shared" si="25"/>
        <v>-0.89383737242837702</v>
      </c>
      <c r="K78" s="749"/>
      <c r="L78" s="101"/>
    </row>
    <row r="79" spans="1:12" x14ac:dyDescent="0.25">
      <c r="A79" s="617" t="str">
        <f t="shared" si="26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/>
      <c r="F79" s="748">
        <v>2077627.06</v>
      </c>
      <c r="G79" s="748">
        <f>19257309.1142696+F79</f>
        <v>21334936.174269598</v>
      </c>
      <c r="H79" s="748">
        <f>D79/12/7</f>
        <v>711755.35140039772</v>
      </c>
      <c r="I79" s="618">
        <f t="shared" si="24"/>
        <v>20623180.8228692</v>
      </c>
      <c r="J79" s="618">
        <f t="shared" si="25"/>
        <v>28.975097668451021</v>
      </c>
      <c r="K79" s="750"/>
      <c r="L79" s="101"/>
    </row>
    <row r="80" spans="1:12" x14ac:dyDescent="0.25">
      <c r="A80" s="617" t="str">
        <f t="shared" si="26"/>
        <v>Corporate services</v>
      </c>
      <c r="B80" s="630"/>
      <c r="C80" s="618">
        <f t="shared" ref="C80:K80" si="28">SUM(C81:C84)</f>
        <v>118793338</v>
      </c>
      <c r="D80" s="618">
        <f t="shared" si="28"/>
        <v>24973203.449460004</v>
      </c>
      <c r="E80" s="618">
        <f t="shared" si="28"/>
        <v>0</v>
      </c>
      <c r="F80" s="618">
        <f t="shared" si="28"/>
        <v>1156741.6700000002</v>
      </c>
      <c r="G80" s="618">
        <f t="shared" si="28"/>
        <v>13351313.34</v>
      </c>
      <c r="H80" s="618">
        <f t="shared" si="28"/>
        <v>14567702.012185</v>
      </c>
      <c r="I80" s="618">
        <f t="shared" si="24"/>
        <v>-1216388.672185</v>
      </c>
      <c r="J80" s="618">
        <f t="shared" si="25"/>
        <v>-8.3499008365737065E-2</v>
      </c>
      <c r="K80" s="620">
        <f t="shared" si="28"/>
        <v>0</v>
      </c>
      <c r="L80" s="101"/>
    </row>
    <row r="81" spans="1:12" x14ac:dyDescent="0.25">
      <c r="A81" s="705" t="str">
        <f t="shared" si="26"/>
        <v>Human Resources</v>
      </c>
      <c r="B81" s="630"/>
      <c r="C81" s="747">
        <f>5728182+103878112+2776148</f>
        <v>112382442</v>
      </c>
      <c r="D81" s="747">
        <v>18865489.24853</v>
      </c>
      <c r="E81" s="747"/>
      <c r="F81" s="747">
        <v>1156741.6700000002</v>
      </c>
      <c r="G81" s="747">
        <f>12194571.67+F81</f>
        <v>13351313.34</v>
      </c>
      <c r="H81" s="747">
        <f>D81/12*7</f>
        <v>11004868.728309166</v>
      </c>
      <c r="I81" s="411">
        <f t="shared" si="24"/>
        <v>2346444.6116908342</v>
      </c>
      <c r="J81" s="411">
        <f t="shared" si="25"/>
        <v>0.2132187734011573</v>
      </c>
      <c r="K81" s="749"/>
      <c r="L81" s="101"/>
    </row>
    <row r="82" spans="1:12" x14ac:dyDescent="0.25">
      <c r="A82" s="705" t="str">
        <f t="shared" si="26"/>
        <v>Information Technology</v>
      </c>
      <c r="B82" s="630"/>
      <c r="C82" s="747">
        <v>114641</v>
      </c>
      <c r="D82" s="747">
        <v>3189801.25055</v>
      </c>
      <c r="E82" s="747"/>
      <c r="F82" s="747"/>
      <c r="G82" s="747"/>
      <c r="H82" s="747">
        <f>D82/12*7</f>
        <v>1860717.3961541667</v>
      </c>
      <c r="I82" s="411">
        <f t="shared" si="24"/>
        <v>-1860717.3961541667</v>
      </c>
      <c r="J82" s="411">
        <f t="shared" si="25"/>
        <v>-1</v>
      </c>
      <c r="K82" s="749"/>
      <c r="L82" s="101"/>
    </row>
    <row r="83" spans="1:12" x14ac:dyDescent="0.25">
      <c r="A83" s="705" t="str">
        <f t="shared" si="26"/>
        <v>Property Services</v>
      </c>
      <c r="B83" s="630"/>
      <c r="C83" s="747"/>
      <c r="D83" s="747"/>
      <c r="E83" s="747"/>
      <c r="F83" s="747"/>
      <c r="G83" s="747"/>
      <c r="H83" s="747"/>
      <c r="I83" s="411">
        <f t="shared" si="24"/>
        <v>0</v>
      </c>
      <c r="J83" s="411" t="str">
        <f t="shared" si="25"/>
        <v/>
      </c>
      <c r="K83" s="749"/>
      <c r="L83" s="101"/>
    </row>
    <row r="84" spans="1:12" x14ac:dyDescent="0.25">
      <c r="A84" s="705" t="str">
        <f t="shared" si="26"/>
        <v>Other Admin</v>
      </c>
      <c r="B84" s="630"/>
      <c r="C84" s="747">
        <v>6296255</v>
      </c>
      <c r="D84" s="747">
        <v>2917912.9503800003</v>
      </c>
      <c r="E84" s="747"/>
      <c r="F84" s="747"/>
      <c r="G84" s="747"/>
      <c r="H84" s="747">
        <f>D84/12*7</f>
        <v>1702115.8877216668</v>
      </c>
      <c r="I84" s="411">
        <f t="shared" si="24"/>
        <v>-1702115.8877216668</v>
      </c>
      <c r="J84" s="411">
        <f t="shared" si="25"/>
        <v>-1</v>
      </c>
      <c r="K84" s="749"/>
      <c r="L84" s="101"/>
    </row>
    <row r="85" spans="1:12" x14ac:dyDescent="0.25">
      <c r="A85" s="417" t="str">
        <f t="shared" si="26"/>
        <v>Community and public safety</v>
      </c>
      <c r="B85" s="630"/>
      <c r="C85" s="615">
        <f t="shared" ref="C85:K85" si="29">C86+C95+C96+C102+C103</f>
        <v>3872955</v>
      </c>
      <c r="D85" s="615">
        <f t="shared" si="29"/>
        <v>5990704.3318699999</v>
      </c>
      <c r="E85" s="615">
        <f t="shared" si="29"/>
        <v>0</v>
      </c>
      <c r="F85" s="615">
        <f t="shared" si="29"/>
        <v>695659.46</v>
      </c>
      <c r="G85" s="615">
        <f t="shared" si="29"/>
        <v>4680875.59</v>
      </c>
      <c r="H85" s="615">
        <f t="shared" si="29"/>
        <v>3494577.5269241664</v>
      </c>
      <c r="I85" s="615">
        <f t="shared" si="24"/>
        <v>1186298.0630758335</v>
      </c>
      <c r="J85" s="615">
        <f t="shared" si="25"/>
        <v>0.33946823441057877</v>
      </c>
      <c r="K85" s="616">
        <f t="shared" si="29"/>
        <v>0</v>
      </c>
      <c r="L85" s="101"/>
    </row>
    <row r="86" spans="1:12" x14ac:dyDescent="0.25">
      <c r="A86" s="617" t="str">
        <f t="shared" si="26"/>
        <v>Community and social services</v>
      </c>
      <c r="B86" s="630"/>
      <c r="C86" s="621">
        <f t="shared" ref="C86:K86" si="30">SUM(C87:C94)</f>
        <v>0</v>
      </c>
      <c r="D86" s="621">
        <f t="shared" si="30"/>
        <v>2308290.1038000002</v>
      </c>
      <c r="E86" s="621">
        <f t="shared" si="30"/>
        <v>0</v>
      </c>
      <c r="F86" s="621">
        <f t="shared" si="30"/>
        <v>343840.41000000003</v>
      </c>
      <c r="G86" s="621">
        <f t="shared" si="30"/>
        <v>2525787.4500000002</v>
      </c>
      <c r="H86" s="621">
        <f t="shared" si="30"/>
        <v>1346502.5605500001</v>
      </c>
      <c r="I86" s="621">
        <f t="shared" si="24"/>
        <v>1179284.8894500001</v>
      </c>
      <c r="J86" s="621">
        <f t="shared" si="25"/>
        <v>0.87581332854525185</v>
      </c>
      <c r="K86" s="624">
        <f t="shared" si="30"/>
        <v>0</v>
      </c>
      <c r="L86" s="101"/>
    </row>
    <row r="87" spans="1:12" x14ac:dyDescent="0.25">
      <c r="A87" s="705" t="str">
        <f t="shared" si="26"/>
        <v>Libraries and Archives</v>
      </c>
      <c r="B87" s="630"/>
      <c r="C87" s="747"/>
      <c r="D87" s="747">
        <v>667774.30970000033</v>
      </c>
      <c r="E87" s="747"/>
      <c r="F87" s="747">
        <v>62784.97</v>
      </c>
      <c r="G87" s="747">
        <f>F87</f>
        <v>62784.97</v>
      </c>
      <c r="H87" s="747">
        <f>D87/12*7</f>
        <v>389535.0139916669</v>
      </c>
      <c r="I87" s="411">
        <f t="shared" si="24"/>
        <v>-326750.04399166687</v>
      </c>
      <c r="J87" s="411">
        <f t="shared" si="25"/>
        <v>-0.83882072793244933</v>
      </c>
      <c r="K87" s="749"/>
      <c r="L87" s="101"/>
    </row>
    <row r="88" spans="1:12" x14ac:dyDescent="0.25">
      <c r="A88" s="705" t="str">
        <f t="shared" si="26"/>
        <v>Museums &amp; Art Galleries etc</v>
      </c>
      <c r="B88" s="630"/>
      <c r="C88" s="747"/>
      <c r="D88" s="747"/>
      <c r="E88" s="747"/>
      <c r="F88" s="747"/>
      <c r="G88" s="747"/>
      <c r="H88" s="747">
        <f t="shared" ref="H88:H94" si="31">D88/2</f>
        <v>0</v>
      </c>
      <c r="I88" s="411">
        <f t="shared" si="24"/>
        <v>0</v>
      </c>
      <c r="J88" s="411" t="str">
        <f t="shared" si="25"/>
        <v/>
      </c>
      <c r="K88" s="749"/>
      <c r="L88" s="101"/>
    </row>
    <row r="89" spans="1:12" x14ac:dyDescent="0.25">
      <c r="A89" s="705" t="str">
        <f t="shared" si="26"/>
        <v>Community halls and Facilities</v>
      </c>
      <c r="B89" s="630"/>
      <c r="C89" s="747"/>
      <c r="D89" s="747"/>
      <c r="E89" s="747"/>
      <c r="F89" s="747"/>
      <c r="G89" s="747"/>
      <c r="H89" s="747">
        <f t="shared" si="31"/>
        <v>0</v>
      </c>
      <c r="I89" s="411">
        <f t="shared" si="24"/>
        <v>0</v>
      </c>
      <c r="J89" s="411" t="str">
        <f t="shared" si="25"/>
        <v/>
      </c>
      <c r="K89" s="749"/>
      <c r="L89" s="101"/>
    </row>
    <row r="90" spans="1:12" x14ac:dyDescent="0.25">
      <c r="A90" s="705" t="str">
        <f t="shared" si="26"/>
        <v>Cemeteries &amp; Crematoriums</v>
      </c>
      <c r="B90" s="630"/>
      <c r="C90" s="747"/>
      <c r="D90" s="747">
        <v>393465.33754999982</v>
      </c>
      <c r="E90" s="747"/>
      <c r="F90" s="747">
        <v>33422.740000000005</v>
      </c>
      <c r="G90" s="747">
        <f>F90</f>
        <v>33422.740000000005</v>
      </c>
      <c r="H90" s="747">
        <f>D90/12*7</f>
        <v>229521.44690416657</v>
      </c>
      <c r="I90" s="411">
        <f t="shared" si="24"/>
        <v>-196098.70690416655</v>
      </c>
      <c r="J90" s="411">
        <f t="shared" si="25"/>
        <v>-0.85438075416997872</v>
      </c>
      <c r="K90" s="749"/>
      <c r="L90" s="101"/>
    </row>
    <row r="91" spans="1:12" x14ac:dyDescent="0.25">
      <c r="A91" s="705" t="str">
        <f t="shared" si="26"/>
        <v>Child Care</v>
      </c>
      <c r="B91" s="630"/>
      <c r="C91" s="747"/>
      <c r="D91" s="747"/>
      <c r="E91" s="747"/>
      <c r="F91" s="747"/>
      <c r="G91" s="747"/>
      <c r="H91" s="747">
        <f t="shared" si="31"/>
        <v>0</v>
      </c>
      <c r="I91" s="411">
        <f t="shared" si="24"/>
        <v>0</v>
      </c>
      <c r="J91" s="411" t="str">
        <f t="shared" si="25"/>
        <v/>
      </c>
      <c r="K91" s="749"/>
      <c r="L91" s="101"/>
    </row>
    <row r="92" spans="1:12" x14ac:dyDescent="0.25">
      <c r="A92" s="705" t="str">
        <f t="shared" si="26"/>
        <v>Aged Care</v>
      </c>
      <c r="B92" s="630"/>
      <c r="C92" s="747"/>
      <c r="D92" s="747"/>
      <c r="E92" s="747"/>
      <c r="F92" s="747"/>
      <c r="G92" s="747"/>
      <c r="H92" s="747">
        <f t="shared" si="31"/>
        <v>0</v>
      </c>
      <c r="I92" s="411">
        <f t="shared" si="24"/>
        <v>0</v>
      </c>
      <c r="J92" s="411" t="str">
        <f t="shared" si="25"/>
        <v/>
      </c>
      <c r="K92" s="749"/>
      <c r="L92" s="101"/>
    </row>
    <row r="93" spans="1:12" x14ac:dyDescent="0.25">
      <c r="A93" s="705" t="str">
        <f t="shared" si="26"/>
        <v>Other Community</v>
      </c>
      <c r="B93" s="630"/>
      <c r="C93" s="747"/>
      <c r="D93" s="747">
        <v>1247050.45655</v>
      </c>
      <c r="E93" s="747"/>
      <c r="F93" s="747">
        <v>247632.7</v>
      </c>
      <c r="G93" s="747">
        <f>2181947.04+F93</f>
        <v>2429579.7400000002</v>
      </c>
      <c r="H93" s="747">
        <f>D93/12*7</f>
        <v>727446.09965416673</v>
      </c>
      <c r="I93" s="411">
        <f t="shared" si="24"/>
        <v>1702133.6403458335</v>
      </c>
      <c r="J93" s="411">
        <f t="shared" si="25"/>
        <v>2.3398759594079075</v>
      </c>
      <c r="K93" s="749"/>
      <c r="L93" s="101"/>
    </row>
    <row r="94" spans="1:12" x14ac:dyDescent="0.25">
      <c r="A94" s="705" t="str">
        <f t="shared" si="26"/>
        <v>Other Social</v>
      </c>
      <c r="B94" s="630"/>
      <c r="C94" s="747"/>
      <c r="D94" s="747"/>
      <c r="E94" s="747"/>
      <c r="F94" s="747"/>
      <c r="G94" s="747"/>
      <c r="H94" s="747">
        <f t="shared" si="31"/>
        <v>0</v>
      </c>
      <c r="I94" s="411">
        <f t="shared" si="24"/>
        <v>0</v>
      </c>
      <c r="J94" s="411" t="str">
        <f t="shared" si="25"/>
        <v/>
      </c>
      <c r="K94" s="749"/>
      <c r="L94" s="101"/>
    </row>
    <row r="95" spans="1:12" x14ac:dyDescent="0.25">
      <c r="A95" s="617" t="str">
        <f t="shared" si="26"/>
        <v>Sport and recreation</v>
      </c>
      <c r="B95" s="630"/>
      <c r="C95" s="747">
        <v>3872955</v>
      </c>
      <c r="D95" s="747">
        <v>3682414.2280699997</v>
      </c>
      <c r="E95" s="747"/>
      <c r="F95" s="747">
        <v>351819.05</v>
      </c>
      <c r="G95" s="747">
        <f>1803269.09+F95</f>
        <v>2155088.14</v>
      </c>
      <c r="H95" s="747">
        <f>D95/12*7</f>
        <v>2148074.9663741663</v>
      </c>
      <c r="I95" s="411">
        <f t="shared" si="24"/>
        <v>7013.1736258338206</v>
      </c>
      <c r="J95" s="411">
        <f t="shared" si="25"/>
        <v>3.2648644649826519E-3</v>
      </c>
      <c r="K95" s="749"/>
      <c r="L95" s="101"/>
    </row>
    <row r="96" spans="1:12" x14ac:dyDescent="0.25">
      <c r="A96" s="617" t="str">
        <f t="shared" si="26"/>
        <v>Public safety</v>
      </c>
      <c r="B96" s="630"/>
      <c r="C96" s="621">
        <f t="shared" ref="C96:K96" si="32">SUM(C97:C101)</f>
        <v>0</v>
      </c>
      <c r="D96" s="621">
        <f t="shared" si="32"/>
        <v>0</v>
      </c>
      <c r="E96" s="621">
        <f t="shared" si="32"/>
        <v>0</v>
      </c>
      <c r="F96" s="621">
        <f t="shared" si="32"/>
        <v>0</v>
      </c>
      <c r="G96" s="621">
        <f t="shared" si="32"/>
        <v>0</v>
      </c>
      <c r="H96" s="621">
        <f t="shared" si="32"/>
        <v>0</v>
      </c>
      <c r="I96" s="621">
        <f t="shared" si="24"/>
        <v>0</v>
      </c>
      <c r="J96" s="621" t="str">
        <f t="shared" si="25"/>
        <v/>
      </c>
      <c r="K96" s="624">
        <f t="shared" si="32"/>
        <v>0</v>
      </c>
      <c r="L96" s="101"/>
    </row>
    <row r="97" spans="1:12" x14ac:dyDescent="0.25">
      <c r="A97" s="705" t="str">
        <f t="shared" si="26"/>
        <v>Police</v>
      </c>
      <c r="B97" s="630"/>
      <c r="C97" s="747"/>
      <c r="D97" s="747"/>
      <c r="E97" s="747"/>
      <c r="F97" s="747"/>
      <c r="G97" s="747"/>
      <c r="H97" s="747"/>
      <c r="I97" s="411">
        <f t="shared" si="24"/>
        <v>0</v>
      </c>
      <c r="J97" s="411" t="str">
        <f t="shared" si="25"/>
        <v/>
      </c>
      <c r="K97" s="749"/>
      <c r="L97" s="101"/>
    </row>
    <row r="98" spans="1:12" x14ac:dyDescent="0.25">
      <c r="A98" s="705" t="str">
        <f t="shared" si="26"/>
        <v>Fire</v>
      </c>
      <c r="B98" s="630"/>
      <c r="C98" s="747"/>
      <c r="D98" s="747"/>
      <c r="E98" s="747"/>
      <c r="F98" s="747"/>
      <c r="G98" s="747"/>
      <c r="H98" s="747"/>
      <c r="I98" s="411">
        <f t="shared" si="24"/>
        <v>0</v>
      </c>
      <c r="J98" s="411" t="str">
        <f t="shared" si="25"/>
        <v/>
      </c>
      <c r="K98" s="749"/>
      <c r="L98" s="101"/>
    </row>
    <row r="99" spans="1:12" x14ac:dyDescent="0.25">
      <c r="A99" s="705" t="str">
        <f t="shared" si="26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4"/>
        <v>0</v>
      </c>
      <c r="J99" s="411" t="str">
        <f t="shared" si="25"/>
        <v/>
      </c>
      <c r="K99" s="749"/>
      <c r="L99" s="101"/>
    </row>
    <row r="100" spans="1:12" x14ac:dyDescent="0.25">
      <c r="A100" s="705" t="str">
        <f t="shared" si="26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4"/>
        <v>0</v>
      </c>
      <c r="J100" s="411" t="str">
        <f t="shared" si="25"/>
        <v/>
      </c>
      <c r="K100" s="749"/>
      <c r="L100" s="101"/>
    </row>
    <row r="101" spans="1:12" x14ac:dyDescent="0.25">
      <c r="A101" s="705" t="str">
        <f t="shared" si="26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4"/>
        <v>0</v>
      </c>
      <c r="J101" s="411" t="str">
        <f t="shared" si="25"/>
        <v/>
      </c>
      <c r="K101" s="749"/>
      <c r="L101" s="101"/>
    </row>
    <row r="102" spans="1:12" x14ac:dyDescent="0.25">
      <c r="A102" s="617" t="str">
        <f t="shared" si="26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4"/>
        <v>0</v>
      </c>
      <c r="J102" s="621" t="str">
        <f t="shared" si="25"/>
        <v/>
      </c>
      <c r="K102" s="752"/>
      <c r="L102" s="101"/>
    </row>
    <row r="103" spans="1:12" x14ac:dyDescent="0.25">
      <c r="A103" s="617" t="str">
        <f t="shared" si="26"/>
        <v>Health</v>
      </c>
      <c r="B103" s="630"/>
      <c r="C103" s="621">
        <f t="shared" ref="C103:K103" si="33">SUM(C104:C106)</f>
        <v>0</v>
      </c>
      <c r="D103" s="621">
        <f t="shared" si="33"/>
        <v>0</v>
      </c>
      <c r="E103" s="621">
        <f t="shared" si="33"/>
        <v>0</v>
      </c>
      <c r="F103" s="621">
        <f t="shared" si="33"/>
        <v>0</v>
      </c>
      <c r="G103" s="621">
        <f t="shared" si="33"/>
        <v>0</v>
      </c>
      <c r="H103" s="621">
        <f t="shared" si="33"/>
        <v>0</v>
      </c>
      <c r="I103" s="621">
        <f t="shared" si="24"/>
        <v>0</v>
      </c>
      <c r="J103" s="621" t="str">
        <f t="shared" si="25"/>
        <v/>
      </c>
      <c r="K103" s="624">
        <f t="shared" si="33"/>
        <v>0</v>
      </c>
      <c r="L103" s="101"/>
    </row>
    <row r="104" spans="1:12" x14ac:dyDescent="0.25">
      <c r="A104" s="705" t="str">
        <f t="shared" si="26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4"/>
        <v>0</v>
      </c>
      <c r="J104" s="411" t="str">
        <f t="shared" si="25"/>
        <v/>
      </c>
      <c r="K104" s="749"/>
      <c r="L104" s="101"/>
    </row>
    <row r="105" spans="1:12" x14ac:dyDescent="0.25">
      <c r="A105" s="705" t="str">
        <f t="shared" si="26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4"/>
        <v>0</v>
      </c>
      <c r="J105" s="411" t="str">
        <f t="shared" si="25"/>
        <v/>
      </c>
      <c r="K105" s="749"/>
      <c r="L105" s="101"/>
    </row>
    <row r="106" spans="1:12" x14ac:dyDescent="0.25">
      <c r="A106" s="705" t="str">
        <f t="shared" si="26"/>
        <v xml:space="preserve">Other   </v>
      </c>
      <c r="B106" s="630"/>
      <c r="C106" s="747"/>
      <c r="D106" s="747"/>
      <c r="E106" s="747"/>
      <c r="F106" s="747"/>
      <c r="G106" s="747"/>
      <c r="H106" s="747"/>
      <c r="I106" s="411">
        <f t="shared" si="24"/>
        <v>0</v>
      </c>
      <c r="J106" s="411" t="str">
        <f t="shared" si="25"/>
        <v/>
      </c>
      <c r="K106" s="749"/>
      <c r="L106" s="101"/>
    </row>
    <row r="107" spans="1:12" x14ac:dyDescent="0.25">
      <c r="A107" s="417" t="str">
        <f t="shared" si="26"/>
        <v>Economic and environmental services</v>
      </c>
      <c r="B107" s="630"/>
      <c r="C107" s="615">
        <f t="shared" ref="C107:K107" si="34">C108+C112+C118</f>
        <v>22716466</v>
      </c>
      <c r="D107" s="615">
        <f t="shared" si="34"/>
        <v>57088684.211060002</v>
      </c>
      <c r="E107" s="615">
        <f t="shared" si="34"/>
        <v>0</v>
      </c>
      <c r="F107" s="615">
        <f t="shared" si="34"/>
        <v>4029506.0199999996</v>
      </c>
      <c r="G107" s="615">
        <f t="shared" si="34"/>
        <v>31091145.369585901</v>
      </c>
      <c r="H107" s="615">
        <f t="shared" si="34"/>
        <v>33301732.456451669</v>
      </c>
      <c r="I107" s="615">
        <f t="shared" si="24"/>
        <v>-2210587.0868657678</v>
      </c>
      <c r="J107" s="615">
        <f t="shared" si="25"/>
        <v>-6.6380543107074974E-2</v>
      </c>
      <c r="K107" s="616">
        <f t="shared" si="34"/>
        <v>0</v>
      </c>
      <c r="L107" s="101"/>
    </row>
    <row r="108" spans="1:12" x14ac:dyDescent="0.25">
      <c r="A108" s="617" t="str">
        <f t="shared" si="26"/>
        <v>Planning and development</v>
      </c>
      <c r="B108" s="630"/>
      <c r="C108" s="621">
        <f t="shared" ref="C108:K108" si="35">SUM(C109:C111)</f>
        <v>0</v>
      </c>
      <c r="D108" s="621">
        <f t="shared" si="35"/>
        <v>13615925.372650001</v>
      </c>
      <c r="E108" s="621">
        <f t="shared" si="35"/>
        <v>0</v>
      </c>
      <c r="F108" s="621">
        <f t="shared" si="35"/>
        <v>2003207.2599999998</v>
      </c>
      <c r="G108" s="621">
        <f t="shared" si="35"/>
        <v>17890255.337194301</v>
      </c>
      <c r="H108" s="621">
        <f t="shared" si="35"/>
        <v>7942623.1340458337</v>
      </c>
      <c r="I108" s="621">
        <f t="shared" si="24"/>
        <v>9947632.2031484675</v>
      </c>
      <c r="J108" s="621">
        <f t="shared" si="25"/>
        <v>1.2524366365197686</v>
      </c>
      <c r="K108" s="624">
        <f t="shared" si="35"/>
        <v>0</v>
      </c>
      <c r="L108" s="101"/>
    </row>
    <row r="109" spans="1:12" x14ac:dyDescent="0.25">
      <c r="A109" s="705" t="str">
        <f t="shared" si="26"/>
        <v xml:space="preserve">Economic Development/Planning </v>
      </c>
      <c r="B109" s="630"/>
      <c r="C109" s="747"/>
      <c r="D109" s="747">
        <v>7043244.8275999986</v>
      </c>
      <c r="E109" s="747"/>
      <c r="F109" s="747">
        <v>1344014.5999999999</v>
      </c>
      <c r="G109" s="747">
        <f>15887048.0771943+F109</f>
        <v>17231062.677194301</v>
      </c>
      <c r="H109" s="747">
        <f>D109/12*7</f>
        <v>4108559.482766666</v>
      </c>
      <c r="I109" s="411">
        <f t="shared" si="24"/>
        <v>13122503.194427636</v>
      </c>
      <c r="J109" s="411">
        <f t="shared" si="25"/>
        <v>3.1939426091967063</v>
      </c>
      <c r="K109" s="749"/>
      <c r="L109" s="101"/>
    </row>
    <row r="110" spans="1:12" ht="22.5" x14ac:dyDescent="0.25">
      <c r="A110" s="705" t="str">
        <f t="shared" si="26"/>
        <v xml:space="preserve">Town Planning/Building enforcement </v>
      </c>
      <c r="B110" s="630"/>
      <c r="C110" s="747"/>
      <c r="D110" s="747">
        <v>6572680.5450500026</v>
      </c>
      <c r="E110" s="747"/>
      <c r="F110" s="747">
        <v>659192.65999999992</v>
      </c>
      <c r="G110" s="747">
        <f>F110</f>
        <v>659192.65999999992</v>
      </c>
      <c r="H110" s="747">
        <f>D110/12*7</f>
        <v>3834063.6512791682</v>
      </c>
      <c r="I110" s="411">
        <f t="shared" si="24"/>
        <v>-3174870.9912791681</v>
      </c>
      <c r="J110" s="411">
        <f t="shared" si="25"/>
        <v>-0.82806945320793723</v>
      </c>
      <c r="K110" s="749"/>
      <c r="L110" s="101"/>
    </row>
    <row r="111" spans="1:12" x14ac:dyDescent="0.25">
      <c r="A111" s="705" t="str">
        <f t="shared" si="26"/>
        <v>Licensing &amp; Regulation</v>
      </c>
      <c r="B111" s="630"/>
      <c r="C111" s="747"/>
      <c r="D111" s="747"/>
      <c r="E111" s="747"/>
      <c r="F111" s="747"/>
      <c r="G111" s="747"/>
      <c r="H111" s="747"/>
      <c r="I111" s="411">
        <f t="shared" si="24"/>
        <v>0</v>
      </c>
      <c r="J111" s="411" t="str">
        <f t="shared" si="25"/>
        <v/>
      </c>
      <c r="K111" s="749"/>
      <c r="L111" s="101"/>
    </row>
    <row r="112" spans="1:12" x14ac:dyDescent="0.25">
      <c r="A112" s="617" t="str">
        <f t="shared" si="26"/>
        <v>Road transport</v>
      </c>
      <c r="B112" s="630"/>
      <c r="C112" s="621">
        <f t="shared" ref="C112:K112" si="36">SUM(C113:C117)</f>
        <v>22716466</v>
      </c>
      <c r="D112" s="621">
        <f t="shared" si="36"/>
        <v>43472758.838410005</v>
      </c>
      <c r="E112" s="621">
        <f t="shared" si="36"/>
        <v>0</v>
      </c>
      <c r="F112" s="621">
        <f t="shared" si="36"/>
        <v>2026298.76</v>
      </c>
      <c r="G112" s="621">
        <f t="shared" si="36"/>
        <v>13200890.0323916</v>
      </c>
      <c r="H112" s="621">
        <f t="shared" si="36"/>
        <v>25359109.322405837</v>
      </c>
      <c r="I112" s="621">
        <f t="shared" si="24"/>
        <v>-12158219.290014237</v>
      </c>
      <c r="J112" s="621">
        <f t="shared" si="25"/>
        <v>-0.4794418895174658</v>
      </c>
      <c r="K112" s="624">
        <f t="shared" si="36"/>
        <v>0</v>
      </c>
      <c r="L112" s="101"/>
    </row>
    <row r="113" spans="1:12" x14ac:dyDescent="0.25">
      <c r="A113" s="705" t="str">
        <f t="shared" si="26"/>
        <v>Roads</v>
      </c>
      <c r="B113" s="630"/>
      <c r="C113" s="747">
        <v>22716466</v>
      </c>
      <c r="D113" s="747">
        <v>26945560.582060009</v>
      </c>
      <c r="E113" s="747"/>
      <c r="F113" s="747">
        <v>166108.97000000003</v>
      </c>
      <c r="G113" s="747">
        <f>11174591.2723916+F113</f>
        <v>11340700.242391601</v>
      </c>
      <c r="H113" s="747">
        <f>D113/12*7</f>
        <v>15718243.672868339</v>
      </c>
      <c r="I113" s="411">
        <f t="shared" si="24"/>
        <v>-4377543.4304767381</v>
      </c>
      <c r="J113" s="411">
        <f t="shared" si="25"/>
        <v>-0.27850079955389212</v>
      </c>
      <c r="K113" s="749"/>
      <c r="L113" s="101"/>
    </row>
    <row r="114" spans="1:12" x14ac:dyDescent="0.25">
      <c r="A114" s="705" t="str">
        <f t="shared" si="26"/>
        <v>Public Buses</v>
      </c>
      <c r="B114" s="630"/>
      <c r="C114" s="747"/>
      <c r="D114" s="747"/>
      <c r="E114" s="747"/>
      <c r="F114" s="747"/>
      <c r="G114" s="747"/>
      <c r="H114" s="747">
        <f t="shared" ref="H114:H115" si="37">D114/2</f>
        <v>0</v>
      </c>
      <c r="I114" s="411">
        <f t="shared" si="24"/>
        <v>0</v>
      </c>
      <c r="J114" s="411" t="str">
        <f t="shared" si="25"/>
        <v/>
      </c>
      <c r="K114" s="749"/>
      <c r="L114" s="101"/>
    </row>
    <row r="115" spans="1:12" x14ac:dyDescent="0.25">
      <c r="A115" s="705" t="str">
        <f t="shared" si="26"/>
        <v>Parking Garages</v>
      </c>
      <c r="B115" s="630"/>
      <c r="C115" s="747"/>
      <c r="D115" s="747"/>
      <c r="E115" s="747"/>
      <c r="F115" s="747"/>
      <c r="G115" s="747"/>
      <c r="H115" s="747">
        <f t="shared" si="37"/>
        <v>0</v>
      </c>
      <c r="I115" s="411">
        <f t="shared" si="24"/>
        <v>0</v>
      </c>
      <c r="J115" s="411" t="str">
        <f t="shared" si="25"/>
        <v/>
      </c>
      <c r="K115" s="749"/>
      <c r="L115" s="101"/>
    </row>
    <row r="116" spans="1:12" x14ac:dyDescent="0.25">
      <c r="A116" s="705" t="str">
        <f t="shared" si="26"/>
        <v>Vehicle Licensing and Testing</v>
      </c>
      <c r="B116" s="630"/>
      <c r="C116" s="747"/>
      <c r="D116" s="747">
        <v>11021607.432949999</v>
      </c>
      <c r="E116" s="747"/>
      <c r="F116" s="747">
        <v>1860189.79</v>
      </c>
      <c r="G116" s="747">
        <f>F116</f>
        <v>1860189.79</v>
      </c>
      <c r="H116" s="747">
        <f>D116/12*7</f>
        <v>6429271.0025541661</v>
      </c>
      <c r="I116" s="411">
        <f t="shared" si="24"/>
        <v>-4569081.2125541661</v>
      </c>
      <c r="J116" s="411">
        <f t="shared" si="25"/>
        <v>-0.71066862957542154</v>
      </c>
      <c r="K116" s="749"/>
      <c r="L116" s="101"/>
    </row>
    <row r="117" spans="1:12" x14ac:dyDescent="0.25">
      <c r="A117" s="705" t="str">
        <f t="shared" si="26"/>
        <v>Other</v>
      </c>
      <c r="B117" s="630"/>
      <c r="C117" s="747"/>
      <c r="D117" s="747">
        <v>5505590.8234000001</v>
      </c>
      <c r="E117" s="747"/>
      <c r="F117" s="747"/>
      <c r="G117" s="747"/>
      <c r="H117" s="747">
        <f>D117/12*7</f>
        <v>3211594.6469833334</v>
      </c>
      <c r="I117" s="411">
        <f t="shared" si="24"/>
        <v>-3211594.6469833334</v>
      </c>
      <c r="J117" s="411">
        <f t="shared" si="25"/>
        <v>-1</v>
      </c>
      <c r="K117" s="749"/>
      <c r="L117" s="101"/>
    </row>
    <row r="118" spans="1:12" x14ac:dyDescent="0.25">
      <c r="A118" s="617" t="str">
        <f t="shared" si="26"/>
        <v>Environmental protection</v>
      </c>
      <c r="B118" s="630"/>
      <c r="C118" s="621">
        <f t="shared" ref="C118:K118" si="38">SUM(C119:C121)</f>
        <v>0</v>
      </c>
      <c r="D118" s="621">
        <f t="shared" si="38"/>
        <v>0</v>
      </c>
      <c r="E118" s="621">
        <f t="shared" si="38"/>
        <v>0</v>
      </c>
      <c r="F118" s="621">
        <f t="shared" si="38"/>
        <v>0</v>
      </c>
      <c r="G118" s="621">
        <f t="shared" si="38"/>
        <v>0</v>
      </c>
      <c r="H118" s="621">
        <f t="shared" si="38"/>
        <v>0</v>
      </c>
      <c r="I118" s="621">
        <f t="shared" si="24"/>
        <v>0</v>
      </c>
      <c r="J118" s="621" t="str">
        <f t="shared" si="25"/>
        <v/>
      </c>
      <c r="K118" s="624">
        <f t="shared" si="38"/>
        <v>0</v>
      </c>
      <c r="L118" s="101"/>
    </row>
    <row r="119" spans="1:12" x14ac:dyDescent="0.25">
      <c r="A119" s="705" t="str">
        <f t="shared" si="26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4"/>
        <v>0</v>
      </c>
      <c r="J119" s="411" t="str">
        <f t="shared" si="25"/>
        <v/>
      </c>
      <c r="K119" s="749"/>
      <c r="L119" s="101"/>
    </row>
    <row r="120" spans="1:12" x14ac:dyDescent="0.25">
      <c r="A120" s="705" t="str">
        <f t="shared" si="26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4"/>
        <v>0</v>
      </c>
      <c r="J120" s="411" t="str">
        <f t="shared" si="25"/>
        <v/>
      </c>
      <c r="K120" s="749"/>
      <c r="L120" s="101"/>
    </row>
    <row r="121" spans="1:12" x14ac:dyDescent="0.25">
      <c r="A121" s="705" t="str">
        <f t="shared" si="26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4"/>
        <v>0</v>
      </c>
      <c r="J121" s="411" t="str">
        <f t="shared" si="25"/>
        <v/>
      </c>
      <c r="K121" s="749"/>
      <c r="L121" s="101"/>
    </row>
    <row r="122" spans="1:12" x14ac:dyDescent="0.25">
      <c r="A122" s="417" t="str">
        <f t="shared" si="26"/>
        <v>Trading services</v>
      </c>
      <c r="B122" s="630"/>
      <c r="C122" s="615">
        <f>C123+C126+C129+C133</f>
        <v>35379867</v>
      </c>
      <c r="D122" s="615">
        <f t="shared" ref="D122:I122" si="39">D123+D126+D129+D133</f>
        <v>75590192.595104992</v>
      </c>
      <c r="E122" s="615">
        <f t="shared" si="39"/>
        <v>0</v>
      </c>
      <c r="F122" s="615">
        <f t="shared" si="39"/>
        <v>5091872.91</v>
      </c>
      <c r="G122" s="615">
        <f t="shared" si="39"/>
        <v>43100997.670527801</v>
      </c>
      <c r="H122" s="615">
        <f t="shared" si="39"/>
        <v>74758279.013811246</v>
      </c>
      <c r="I122" s="615">
        <f t="shared" si="39"/>
        <v>-31657281.343283456</v>
      </c>
      <c r="J122" s="615">
        <f t="shared" si="25"/>
        <v>-0.42346187955229575</v>
      </c>
      <c r="K122" s="616">
        <f>K123+K126+K129+K133</f>
        <v>0</v>
      </c>
      <c r="L122" s="101"/>
    </row>
    <row r="123" spans="1:12" x14ac:dyDescent="0.25">
      <c r="A123" s="617" t="str">
        <f t="shared" si="26"/>
        <v>Electricity</v>
      </c>
      <c r="B123" s="630"/>
      <c r="C123" s="621">
        <f t="shared" ref="C123:K123" si="40">SUM(C124:C125)</f>
        <v>35132052</v>
      </c>
      <c r="D123" s="621">
        <f t="shared" si="40"/>
        <v>48889529.2445933</v>
      </c>
      <c r="E123" s="621">
        <f t="shared" si="40"/>
        <v>0</v>
      </c>
      <c r="F123" s="621">
        <f t="shared" si="40"/>
        <v>3400132.8800000004</v>
      </c>
      <c r="G123" s="621">
        <f t="shared" si="40"/>
        <v>29865994.057339299</v>
      </c>
      <c r="H123" s="621">
        <f t="shared" si="40"/>
        <v>59182892.059346095</v>
      </c>
      <c r="I123" s="621">
        <f t="shared" si="24"/>
        <v>-29316898.002006795</v>
      </c>
      <c r="J123" s="621">
        <f t="shared" si="25"/>
        <v>-0.49536102380074726</v>
      </c>
      <c r="K123" s="624">
        <f t="shared" si="40"/>
        <v>0</v>
      </c>
      <c r="L123" s="101"/>
    </row>
    <row r="124" spans="1:12" x14ac:dyDescent="0.25">
      <c r="A124" s="705" t="str">
        <f t="shared" si="26"/>
        <v>Electricity Distribution</v>
      </c>
      <c r="B124" s="630"/>
      <c r="C124" s="747">
        <v>35132052</v>
      </c>
      <c r="D124" s="747">
        <v>48889529.2445933</v>
      </c>
      <c r="E124" s="747"/>
      <c r="F124" s="747">
        <v>3400132.8800000004</v>
      </c>
      <c r="G124" s="747">
        <f>26465861.1773393+F124</f>
        <v>29865994.057339299</v>
      </c>
      <c r="H124" s="747">
        <f>D124/12*7+30664000</f>
        <v>59182892.059346095</v>
      </c>
      <c r="I124" s="411">
        <f t="shared" si="24"/>
        <v>-29316898.002006795</v>
      </c>
      <c r="J124" s="411">
        <f t="shared" si="25"/>
        <v>-0.49536102380074726</v>
      </c>
      <c r="K124" s="749"/>
      <c r="L124" s="101"/>
    </row>
    <row r="125" spans="1:12" x14ac:dyDescent="0.25">
      <c r="A125" s="705" t="str">
        <f t="shared" si="26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4"/>
        <v>0</v>
      </c>
      <c r="J125" s="411" t="str">
        <f t="shared" si="25"/>
        <v/>
      </c>
      <c r="K125" s="749"/>
      <c r="L125" s="101"/>
    </row>
    <row r="126" spans="1:12" x14ac:dyDescent="0.25">
      <c r="A126" s="617" t="str">
        <f t="shared" si="26"/>
        <v>Water</v>
      </c>
      <c r="B126" s="630"/>
      <c r="C126" s="621">
        <f t="shared" ref="C126:K126" si="41">SUM(C127:C128)</f>
        <v>150566</v>
      </c>
      <c r="D126" s="621">
        <f t="shared" si="41"/>
        <v>7941888.9834000003</v>
      </c>
      <c r="E126" s="621">
        <f t="shared" si="41"/>
        <v>0</v>
      </c>
      <c r="F126" s="621">
        <f t="shared" si="41"/>
        <v>545344.54</v>
      </c>
      <c r="G126" s="621">
        <f t="shared" si="41"/>
        <v>4163426.4921137402</v>
      </c>
      <c r="H126" s="621">
        <f t="shared" si="41"/>
        <v>4632768.5736500006</v>
      </c>
      <c r="I126" s="621">
        <f t="shared" si="24"/>
        <v>-469342.08153626043</v>
      </c>
      <c r="J126" s="621">
        <f t="shared" si="25"/>
        <v>-0.10130920076728153</v>
      </c>
      <c r="K126" s="624">
        <f t="shared" si="41"/>
        <v>0</v>
      </c>
      <c r="L126" s="101"/>
    </row>
    <row r="127" spans="1:12" x14ac:dyDescent="0.25">
      <c r="A127" s="705" t="str">
        <f t="shared" si="26"/>
        <v>Water Distribution</v>
      </c>
      <c r="B127" s="630"/>
      <c r="C127" s="747">
        <v>150566</v>
      </c>
      <c r="D127" s="747">
        <v>7941888.9834000003</v>
      </c>
      <c r="E127" s="747"/>
      <c r="F127" s="747">
        <v>545344.54</v>
      </c>
      <c r="G127" s="747">
        <f>3618081.95211374+F127</f>
        <v>4163426.4921137402</v>
      </c>
      <c r="H127" s="747">
        <f>D127/12*7</f>
        <v>4632768.5736500006</v>
      </c>
      <c r="I127" s="411">
        <f t="shared" si="24"/>
        <v>-469342.08153626043</v>
      </c>
      <c r="J127" s="411">
        <f t="shared" si="25"/>
        <v>-0.10130920076728153</v>
      </c>
      <c r="K127" s="749"/>
      <c r="L127" s="101"/>
    </row>
    <row r="128" spans="1:12" x14ac:dyDescent="0.25">
      <c r="A128" s="705" t="str">
        <f t="shared" si="26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4"/>
        <v>0</v>
      </c>
      <c r="J128" s="411" t="str">
        <f t="shared" si="25"/>
        <v/>
      </c>
      <c r="K128" s="749"/>
      <c r="L128" s="101"/>
    </row>
    <row r="129" spans="1:12" x14ac:dyDescent="0.25">
      <c r="A129" s="617" t="str">
        <f t="shared" si="26"/>
        <v>Waste water management</v>
      </c>
      <c r="B129" s="630"/>
      <c r="C129" s="621">
        <f t="shared" ref="C129:K129" si="42">SUM(C130:C132)</f>
        <v>0</v>
      </c>
      <c r="D129" s="621">
        <f t="shared" si="42"/>
        <v>12540437.093828721</v>
      </c>
      <c r="E129" s="621">
        <f t="shared" si="42"/>
        <v>0</v>
      </c>
      <c r="F129" s="621">
        <f t="shared" si="42"/>
        <v>841010.56</v>
      </c>
      <c r="G129" s="621">
        <f t="shared" si="42"/>
        <v>6629060.05107476</v>
      </c>
      <c r="H129" s="621">
        <f t="shared" si="42"/>
        <v>7315254.9714000877</v>
      </c>
      <c r="I129" s="621">
        <f t="shared" si="24"/>
        <v>-686194.92032532766</v>
      </c>
      <c r="J129" s="621">
        <f t="shared" si="25"/>
        <v>-9.3803281363136801E-2</v>
      </c>
      <c r="K129" s="624">
        <f t="shared" si="42"/>
        <v>0</v>
      </c>
      <c r="L129" s="101"/>
    </row>
    <row r="130" spans="1:12" x14ac:dyDescent="0.25">
      <c r="A130" s="705" t="str">
        <f t="shared" si="26"/>
        <v>Sewerage</v>
      </c>
      <c r="B130" s="630"/>
      <c r="C130" s="747"/>
      <c r="D130" s="747">
        <v>12540437.093828721</v>
      </c>
      <c r="E130" s="747"/>
      <c r="F130" s="747">
        <v>841010.56</v>
      </c>
      <c r="G130" s="747">
        <f>5788049.49107476+F130</f>
        <v>6629060.05107476</v>
      </c>
      <c r="H130" s="747">
        <f>D130/12*7</f>
        <v>7315254.9714000877</v>
      </c>
      <c r="I130" s="411">
        <f t="shared" si="24"/>
        <v>-686194.92032532766</v>
      </c>
      <c r="J130" s="411">
        <f t="shared" si="25"/>
        <v>-9.3803281363136801E-2</v>
      </c>
      <c r="K130" s="749"/>
      <c r="L130" s="101"/>
    </row>
    <row r="131" spans="1:12" x14ac:dyDescent="0.25">
      <c r="A131" s="705" t="str">
        <f t="shared" si="26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4"/>
        <v>0</v>
      </c>
      <c r="J131" s="411" t="str">
        <f t="shared" si="25"/>
        <v/>
      </c>
      <c r="K131" s="749"/>
      <c r="L131" s="101"/>
    </row>
    <row r="132" spans="1:12" x14ac:dyDescent="0.25">
      <c r="A132" s="705" t="str">
        <f t="shared" si="26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4"/>
        <v>0</v>
      </c>
      <c r="J132" s="411" t="str">
        <f t="shared" si="25"/>
        <v/>
      </c>
      <c r="K132" s="749"/>
      <c r="L132" s="101"/>
    </row>
    <row r="133" spans="1:12" x14ac:dyDescent="0.25">
      <c r="A133" s="617" t="str">
        <f t="shared" si="26"/>
        <v>Waste management</v>
      </c>
      <c r="B133" s="630"/>
      <c r="C133" s="621">
        <f t="shared" ref="C133:K133" si="43">SUM(C134)</f>
        <v>97249</v>
      </c>
      <c r="D133" s="621">
        <f t="shared" si="43"/>
        <v>6218337.2732829805</v>
      </c>
      <c r="E133" s="621">
        <f t="shared" si="43"/>
        <v>0</v>
      </c>
      <c r="F133" s="621">
        <f t="shared" si="43"/>
        <v>305384.93000000005</v>
      </c>
      <c r="G133" s="621">
        <f t="shared" si="43"/>
        <v>2442517.0700000003</v>
      </c>
      <c r="H133" s="621">
        <f t="shared" si="43"/>
        <v>3627363.4094150723</v>
      </c>
      <c r="I133" s="621">
        <f t="shared" si="24"/>
        <v>-1184846.339415072</v>
      </c>
      <c r="J133" s="621">
        <f t="shared" si="25"/>
        <v>-0.32664120069682612</v>
      </c>
      <c r="K133" s="624">
        <f t="shared" si="43"/>
        <v>0</v>
      </c>
      <c r="L133" s="101"/>
    </row>
    <row r="134" spans="1:12" x14ac:dyDescent="0.25">
      <c r="A134" s="705" t="str">
        <f t="shared" si="26"/>
        <v>Solid Waste</v>
      </c>
      <c r="B134" s="418"/>
      <c r="C134" s="747">
        <v>97249</v>
      </c>
      <c r="D134" s="747">
        <v>6218337.2732829805</v>
      </c>
      <c r="E134" s="747"/>
      <c r="F134" s="747">
        <v>305384.93000000005</v>
      </c>
      <c r="G134" s="747">
        <f>2137132.14+F134</f>
        <v>2442517.0700000003</v>
      </c>
      <c r="H134" s="747">
        <f>D134/12*7</f>
        <v>3627363.4094150723</v>
      </c>
      <c r="I134" s="411">
        <f t="shared" si="24"/>
        <v>-1184846.339415072</v>
      </c>
      <c r="J134" s="411">
        <f t="shared" si="25"/>
        <v>-0.32664120069682612</v>
      </c>
      <c r="K134" s="749"/>
      <c r="L134" s="101"/>
    </row>
    <row r="135" spans="1:12" x14ac:dyDescent="0.25">
      <c r="A135" s="417" t="str">
        <f t="shared" si="26"/>
        <v>Other</v>
      </c>
      <c r="B135" s="418"/>
      <c r="C135" s="621">
        <f t="shared" ref="C135:K135" si="44">SUM(C136:C140)</f>
        <v>0</v>
      </c>
      <c r="D135" s="621">
        <f t="shared" si="44"/>
        <v>0</v>
      </c>
      <c r="E135" s="621">
        <f t="shared" si="44"/>
        <v>0</v>
      </c>
      <c r="F135" s="621">
        <f t="shared" si="44"/>
        <v>0</v>
      </c>
      <c r="G135" s="621">
        <f t="shared" si="44"/>
        <v>0</v>
      </c>
      <c r="H135" s="621">
        <f t="shared" si="44"/>
        <v>0</v>
      </c>
      <c r="I135" s="621">
        <f t="shared" si="24"/>
        <v>0</v>
      </c>
      <c r="J135" s="621" t="str">
        <f t="shared" si="25"/>
        <v/>
      </c>
      <c r="K135" s="624">
        <f t="shared" si="44"/>
        <v>0</v>
      </c>
      <c r="L135" s="101"/>
    </row>
    <row r="136" spans="1:12" x14ac:dyDescent="0.25">
      <c r="A136" s="617" t="str">
        <f t="shared" si="26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4"/>
        <v>0</v>
      </c>
      <c r="J136" s="411" t="str">
        <f t="shared" si="25"/>
        <v/>
      </c>
      <c r="K136" s="749"/>
      <c r="L136" s="101"/>
    </row>
    <row r="137" spans="1:12" x14ac:dyDescent="0.25">
      <c r="A137" s="617" t="str">
        <f t="shared" si="26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4"/>
        <v>0</v>
      </c>
      <c r="J137" s="411" t="str">
        <f t="shared" si="25"/>
        <v/>
      </c>
      <c r="K137" s="749"/>
      <c r="L137" s="101"/>
    </row>
    <row r="138" spans="1:12" x14ac:dyDescent="0.25">
      <c r="A138" s="617" t="str">
        <f t="shared" si="26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4"/>
        <v>0</v>
      </c>
      <c r="J138" s="411" t="str">
        <f t="shared" si="25"/>
        <v/>
      </c>
      <c r="K138" s="749"/>
      <c r="L138" s="101"/>
    </row>
    <row r="139" spans="1:12" x14ac:dyDescent="0.25">
      <c r="A139" s="617" t="str">
        <f t="shared" si="26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5">D75+D85+D107+D122+D135</f>
        <v>256505812.39484406</v>
      </c>
      <c r="E141" s="549">
        <f t="shared" si="45"/>
        <v>0</v>
      </c>
      <c r="F141" s="549">
        <f t="shared" si="45"/>
        <v>15948121.07</v>
      </c>
      <c r="G141" s="549">
        <f t="shared" si="45"/>
        <v>132287295.75438331</v>
      </c>
      <c r="H141" s="549">
        <f t="shared" si="45"/>
        <v>146128133.69643992</v>
      </c>
      <c r="I141" s="549">
        <f t="shared" si="45"/>
        <v>-13840837.942056645</v>
      </c>
      <c r="J141" s="549">
        <f>IF(I141=0,"",I141/H141)</f>
        <v>-9.4717133463217876E-2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6">C72-C141</f>
        <v>-25301423</v>
      </c>
      <c r="D142" s="77">
        <f t="shared" si="46"/>
        <v>105703023.1179601</v>
      </c>
      <c r="E142" s="77">
        <f t="shared" si="46"/>
        <v>0</v>
      </c>
      <c r="F142" s="77">
        <f t="shared" si="46"/>
        <v>-3011032.0599999782</v>
      </c>
      <c r="G142" s="77">
        <f t="shared" si="46"/>
        <v>61848887.215616867</v>
      </c>
      <c r="H142" s="77">
        <f t="shared" si="46"/>
        <v>65160353.686029166</v>
      </c>
      <c r="I142" s="644">
        <f>G142-H142</f>
        <v>-3311466.470412299</v>
      </c>
      <c r="J142" s="644">
        <f>IF(I142=0,"",I142/H142)</f>
        <v>-5.0820265438833868E-2</v>
      </c>
      <c r="K142" s="235">
        <f t="shared" si="46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91" t="s">
        <v>235</v>
      </c>
      <c r="B147" s="991"/>
      <c r="C147" s="991"/>
      <c r="D147" s="991"/>
      <c r="E147" s="991"/>
      <c r="F147" s="991"/>
      <c r="G147" s="991"/>
      <c r="H147" s="991"/>
      <c r="I147" s="991"/>
      <c r="J147" s="991"/>
      <c r="K147" s="991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5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FA1C9-2B33-4B8A-B53C-8579CB05F571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2015-11-26T08:10:25Z</cp:lastPrinted>
  <dcterms:created xsi:type="dcterms:W3CDTF">2004-04-07T16:19:08Z</dcterms:created>
  <dcterms:modified xsi:type="dcterms:W3CDTF">2016-08-12T07:16:35Z</dcterms:modified>
</cp:coreProperties>
</file>