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8430" windowWidth="19440" windowHeight="588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'SC9'!$A$1:$Q$65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13" i="242" l="1"/>
  <c r="F42" i="318"/>
  <c r="G15" i="177"/>
  <c r="G9" i="177"/>
  <c r="G27" i="177"/>
  <c r="G197" i="323"/>
  <c r="H35" i="182"/>
  <c r="H10" i="323"/>
  <c r="H18" i="323"/>
  <c r="H222" i="323"/>
  <c r="H187" i="323"/>
  <c r="G24" i="330"/>
  <c r="G12" i="330"/>
  <c r="G93" i="330"/>
  <c r="G79" i="330"/>
  <c r="H228" i="323"/>
  <c r="H227" i="323"/>
  <c r="H226" i="323"/>
  <c r="H225" i="323"/>
  <c r="H224" i="323"/>
  <c r="H223" i="323"/>
  <c r="H221" i="323"/>
  <c r="H220" i="323"/>
  <c r="H217" i="323"/>
  <c r="H216" i="323"/>
  <c r="H215" i="323"/>
  <c r="H214" i="323"/>
  <c r="H213" i="323"/>
  <c r="H212" i="323"/>
  <c r="H211" i="323"/>
  <c r="H210" i="323"/>
  <c r="H209" i="323"/>
  <c r="H208" i="323"/>
  <c r="H206" i="323"/>
  <c r="H205" i="323"/>
  <c r="H204" i="323"/>
  <c r="H203" i="323"/>
  <c r="H202" i="323"/>
  <c r="H201" i="323"/>
  <c r="H200" i="323"/>
  <c r="H199" i="323"/>
  <c r="H198" i="323"/>
  <c r="H197" i="323"/>
  <c r="H196" i="323"/>
  <c r="H10" i="330"/>
  <c r="H219" i="323"/>
  <c r="H195" i="323"/>
  <c r="H194" i="323"/>
  <c r="H193" i="323"/>
  <c r="H192" i="323"/>
  <c r="H191" i="323"/>
  <c r="H190" i="323"/>
  <c r="H189" i="323"/>
  <c r="H188" i="323"/>
  <c r="H186" i="323"/>
  <c r="H184" i="323"/>
  <c r="H183" i="323"/>
  <c r="H182" i="323"/>
  <c r="H181" i="323"/>
  <c r="H180" i="323"/>
  <c r="H179" i="323"/>
  <c r="H178" i="323"/>
  <c r="H177" i="323"/>
  <c r="H176" i="323"/>
  <c r="H175" i="323"/>
  <c r="H57" i="323"/>
  <c r="H56" i="323"/>
  <c r="H55" i="323"/>
  <c r="H54" i="323"/>
  <c r="H53" i="323"/>
  <c r="H52" i="323"/>
  <c r="H51" i="323"/>
  <c r="H49" i="323"/>
  <c r="H48" i="323"/>
  <c r="H47" i="323"/>
  <c r="H46" i="323"/>
  <c r="H45" i="323"/>
  <c r="H44" i="323"/>
  <c r="H43" i="323"/>
  <c r="H42" i="323"/>
  <c r="H41" i="323"/>
  <c r="H40" i="323"/>
  <c r="H38" i="323"/>
  <c r="H37" i="323"/>
  <c r="H36" i="323"/>
  <c r="H35" i="323"/>
  <c r="H34" i="323"/>
  <c r="H33" i="323"/>
  <c r="H32" i="323"/>
  <c r="H31" i="323"/>
  <c r="H30" i="323"/>
  <c r="H29" i="323"/>
  <c r="H27" i="323"/>
  <c r="H26" i="323"/>
  <c r="H25" i="323"/>
  <c r="H24" i="323"/>
  <c r="H23" i="323"/>
  <c r="H21" i="323"/>
  <c r="H20" i="323"/>
  <c r="H19" i="323"/>
  <c r="H16" i="323"/>
  <c r="H15" i="323"/>
  <c r="H14" i="323"/>
  <c r="H13" i="323"/>
  <c r="H12" i="323"/>
  <c r="H11" i="323"/>
  <c r="H9" i="323"/>
  <c r="H8" i="323"/>
  <c r="H7" i="323"/>
  <c r="H134" i="330"/>
  <c r="H130" i="330"/>
  <c r="H127" i="330"/>
  <c r="H124" i="330"/>
  <c r="H117" i="330"/>
  <c r="H116" i="330"/>
  <c r="H115" i="330"/>
  <c r="H114" i="330"/>
  <c r="H113" i="330"/>
  <c r="H111" i="330"/>
  <c r="H110" i="330"/>
  <c r="H109" i="330"/>
  <c r="H95" i="330"/>
  <c r="H94" i="330"/>
  <c r="H93" i="330"/>
  <c r="H92" i="330"/>
  <c r="H91" i="330"/>
  <c r="H90" i="330"/>
  <c r="H89" i="330"/>
  <c r="H88" i="330"/>
  <c r="H87" i="330"/>
  <c r="H84" i="330"/>
  <c r="H83" i="330"/>
  <c r="H82" i="330"/>
  <c r="H81" i="330"/>
  <c r="H79" i="330"/>
  <c r="H78" i="330"/>
  <c r="H77" i="330"/>
  <c r="H65" i="330"/>
  <c r="H61" i="330"/>
  <c r="H58" i="330"/>
  <c r="H55" i="330"/>
  <c r="H48" i="330"/>
  <c r="H47" i="330"/>
  <c r="H42" i="330"/>
  <c r="H41" i="330"/>
  <c r="H40" i="330"/>
  <c r="H26" i="330"/>
  <c r="H25" i="330"/>
  <c r="H24" i="330"/>
  <c r="H23" i="330"/>
  <c r="H22" i="330"/>
  <c r="H21" i="330"/>
  <c r="H20" i="330"/>
  <c r="H19" i="330"/>
  <c r="H18" i="330"/>
  <c r="H17" i="330"/>
  <c r="H15" i="330"/>
  <c r="H14" i="330"/>
  <c r="H13" i="330"/>
  <c r="H12" i="330"/>
  <c r="H9" i="330"/>
  <c r="H8" i="330"/>
  <c r="G66" i="268"/>
  <c r="G55" i="268"/>
  <c r="G210" i="324"/>
  <c r="G213" i="324"/>
  <c r="F34" i="318"/>
  <c r="C36" i="177"/>
  <c r="C27" i="177"/>
  <c r="C11" i="177"/>
  <c r="C10" i="177"/>
  <c r="C61" i="268"/>
  <c r="C46" i="268"/>
  <c r="G10" i="177"/>
  <c r="I10" i="177"/>
  <c r="J10" i="177"/>
  <c r="G8" i="177"/>
  <c r="G7" i="177"/>
  <c r="I15" i="177"/>
  <c r="J15" i="177"/>
  <c r="H58" i="268"/>
  <c r="G42" i="323"/>
  <c r="G58" i="268"/>
  <c r="G187" i="323"/>
  <c r="G186" i="323"/>
  <c r="G178" i="323"/>
  <c r="G175" i="323"/>
  <c r="G54" i="323"/>
  <c r="G51" i="323"/>
  <c r="G46" i="323"/>
  <c r="G41" i="323"/>
  <c r="G40" i="323"/>
  <c r="G19" i="323"/>
  <c r="G18" i="323"/>
  <c r="I18" i="323"/>
  <c r="J18" i="323"/>
  <c r="G10" i="323"/>
  <c r="G7" i="323"/>
  <c r="G42" i="270"/>
  <c r="H227" i="324"/>
  <c r="H73" i="268"/>
  <c r="G29" i="242"/>
  <c r="G58" i="242"/>
  <c r="G53" i="242"/>
  <c r="F129" i="330"/>
  <c r="G129" i="330"/>
  <c r="E58" i="242"/>
  <c r="F7" i="318"/>
  <c r="G80" i="330"/>
  <c r="E42" i="270"/>
  <c r="H58" i="242"/>
  <c r="H36" i="242"/>
  <c r="H29" i="242"/>
  <c r="H23" i="242"/>
  <c r="H17" i="242"/>
  <c r="H13" i="242"/>
  <c r="H9" i="242"/>
  <c r="H226" i="324"/>
  <c r="H28" i="182"/>
  <c r="H62" i="325"/>
  <c r="H199" i="324"/>
  <c r="C34" i="178"/>
  <c r="C33" i="178"/>
  <c r="C20" i="178"/>
  <c r="H223" i="324"/>
  <c r="H211" i="324"/>
  <c r="H192" i="324"/>
  <c r="H188" i="324"/>
  <c r="H62" i="268"/>
  <c r="H60" i="268"/>
  <c r="H56" i="268"/>
  <c r="H54" i="268"/>
  <c r="H52" i="268"/>
  <c r="H51" i="268"/>
  <c r="H48" i="268"/>
  <c r="H45" i="268"/>
  <c r="H44" i="268"/>
  <c r="C81" i="330"/>
  <c r="C79" i="330"/>
  <c r="C77" i="330"/>
  <c r="C55" i="330"/>
  <c r="C47" i="330"/>
  <c r="C40" i="330"/>
  <c r="H12" i="177"/>
  <c r="H11" i="177"/>
  <c r="H10" i="177"/>
  <c r="H9" i="177"/>
  <c r="H8" i="177"/>
  <c r="H7" i="177"/>
  <c r="H230" i="324"/>
  <c r="H229" i="324"/>
  <c r="H228" i="324"/>
  <c r="H219" i="324"/>
  <c r="H218" i="324"/>
  <c r="H217" i="324"/>
  <c r="H197" i="324"/>
  <c r="H196" i="324"/>
  <c r="H195" i="324"/>
  <c r="H194" i="324"/>
  <c r="H193" i="324"/>
  <c r="H36" i="182"/>
  <c r="H22" i="182"/>
  <c r="H7" i="330"/>
  <c r="H207" i="323"/>
  <c r="F7" i="330"/>
  <c r="G7" i="330"/>
  <c r="G207" i="323"/>
  <c r="G27" i="272"/>
  <c r="H13" i="177"/>
  <c r="H28" i="270"/>
  <c r="K36" i="177"/>
  <c r="F340" i="323"/>
  <c r="G174" i="323"/>
  <c r="G185" i="323"/>
  <c r="G196" i="323"/>
  <c r="G218" i="323"/>
  <c r="A93" i="330"/>
  <c r="I93" i="330"/>
  <c r="J93" i="330"/>
  <c r="I8" i="177"/>
  <c r="J8" i="177"/>
  <c r="H40" i="177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/>
  <c r="F9" i="334"/>
  <c r="G30" i="334"/>
  <c r="G29" i="334"/>
  <c r="F46" i="334"/>
  <c r="G46" i="334"/>
  <c r="F45" i="334"/>
  <c r="F43" i="334"/>
  <c r="G43" i="334"/>
  <c r="F42" i="334"/>
  <c r="G42" i="334"/>
  <c r="F40" i="334"/>
  <c r="G40" i="334"/>
  <c r="F39" i="334"/>
  <c r="F37" i="334"/>
  <c r="G37" i="334"/>
  <c r="F36" i="334"/>
  <c r="G36" i="334"/>
  <c r="F35" i="334"/>
  <c r="G35" i="334"/>
  <c r="F34" i="334"/>
  <c r="G34" i="334"/>
  <c r="F33" i="334"/>
  <c r="G33" i="334"/>
  <c r="F32" i="334"/>
  <c r="G32" i="334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C80" i="172"/>
  <c r="B80" i="172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/>
  <c r="I40" i="318"/>
  <c r="J40" i="318"/>
  <c r="I39" i="318"/>
  <c r="J39" i="318"/>
  <c r="I34" i="318"/>
  <c r="J34" i="318"/>
  <c r="I35" i="318"/>
  <c r="J35" i="318"/>
  <c r="I36" i="318"/>
  <c r="J36" i="318"/>
  <c r="I37" i="318"/>
  <c r="J37" i="318"/>
  <c r="I38" i="318"/>
  <c r="J38" i="318"/>
  <c r="I42" i="318"/>
  <c r="J42" i="318"/>
  <c r="I43" i="318"/>
  <c r="J43" i="318"/>
  <c r="I44" i="318"/>
  <c r="J44" i="318"/>
  <c r="I45" i="318"/>
  <c r="J45" i="318"/>
  <c r="I23" i="318"/>
  <c r="J23" i="318"/>
  <c r="I25" i="318"/>
  <c r="J25" i="318"/>
  <c r="I24" i="318"/>
  <c r="J24" i="318"/>
  <c r="I22" i="318"/>
  <c r="J22" i="318"/>
  <c r="I12" i="318"/>
  <c r="J12" i="318"/>
  <c r="I11" i="318"/>
  <c r="J11" i="318"/>
  <c r="I10" i="318"/>
  <c r="J10" i="318"/>
  <c r="F99" i="100"/>
  <c r="E99" i="100"/>
  <c r="I82" i="333"/>
  <c r="J82" i="333"/>
  <c r="I81" i="333"/>
  <c r="J81" i="333"/>
  <c r="I80" i="333"/>
  <c r="J80" i="333"/>
  <c r="I79" i="333"/>
  <c r="J79" i="333"/>
  <c r="K78" i="333"/>
  <c r="K52" i="333"/>
  <c r="K50" i="333"/>
  <c r="H78" i="333"/>
  <c r="H52" i="333"/>
  <c r="G78" i="333"/>
  <c r="F78" i="333"/>
  <c r="F52" i="333"/>
  <c r="F50" i="333"/>
  <c r="E78" i="333"/>
  <c r="E52" i="333"/>
  <c r="E50" i="333"/>
  <c r="D78" i="333"/>
  <c r="D52" i="333"/>
  <c r="D50" i="333"/>
  <c r="C78" i="333"/>
  <c r="C52" i="333"/>
  <c r="C50" i="333"/>
  <c r="I74" i="333"/>
  <c r="J74" i="333"/>
  <c r="I73" i="333"/>
  <c r="J73" i="333"/>
  <c r="K72" i="333"/>
  <c r="H72" i="333"/>
  <c r="G72" i="333"/>
  <c r="F72" i="333"/>
  <c r="E72" i="333"/>
  <c r="D72" i="333"/>
  <c r="C72" i="333"/>
  <c r="I70" i="333"/>
  <c r="J70" i="333"/>
  <c r="I69" i="333"/>
  <c r="J69" i="333"/>
  <c r="K68" i="333"/>
  <c r="H68" i="333"/>
  <c r="G68" i="333"/>
  <c r="F68" i="333"/>
  <c r="E68" i="333"/>
  <c r="D68" i="333"/>
  <c r="C68" i="333"/>
  <c r="J67" i="333"/>
  <c r="I66" i="333"/>
  <c r="J66" i="333"/>
  <c r="I65" i="333"/>
  <c r="J65" i="333"/>
  <c r="K64" i="333"/>
  <c r="H64" i="333"/>
  <c r="G64" i="333"/>
  <c r="F64" i="333"/>
  <c r="E64" i="333"/>
  <c r="D64" i="333"/>
  <c r="C64" i="333"/>
  <c r="J63" i="333"/>
  <c r="I62" i="333"/>
  <c r="J62" i="333"/>
  <c r="I61" i="333"/>
  <c r="J61" i="333"/>
  <c r="I60" i="333"/>
  <c r="J60" i="333"/>
  <c r="I59" i="333"/>
  <c r="J59" i="333"/>
  <c r="I58" i="333"/>
  <c r="J58" i="333"/>
  <c r="I57" i="333"/>
  <c r="J57" i="333"/>
  <c r="I56" i="333"/>
  <c r="J56" i="333"/>
  <c r="I55" i="333"/>
  <c r="J55" i="333"/>
  <c r="I54" i="333"/>
  <c r="J54" i="333"/>
  <c r="I53" i="333"/>
  <c r="J53" i="333"/>
  <c r="G52" i="333"/>
  <c r="I51" i="333"/>
  <c r="J51" i="333"/>
  <c r="I49" i="333"/>
  <c r="J49" i="333"/>
  <c r="I48" i="333"/>
  <c r="J48" i="333"/>
  <c r="K47" i="333"/>
  <c r="H47" i="333"/>
  <c r="G47" i="333"/>
  <c r="F47" i="333"/>
  <c r="E47" i="333"/>
  <c r="D47" i="333"/>
  <c r="C47" i="333"/>
  <c r="I46" i="333"/>
  <c r="J46" i="333"/>
  <c r="I45" i="333"/>
  <c r="J45" i="333"/>
  <c r="I44" i="333"/>
  <c r="J44" i="333"/>
  <c r="K43" i="333"/>
  <c r="H43" i="333"/>
  <c r="G43" i="333"/>
  <c r="F43" i="333"/>
  <c r="E43" i="333"/>
  <c r="D43" i="333"/>
  <c r="C43" i="333"/>
  <c r="I42" i="333"/>
  <c r="J42" i="333"/>
  <c r="I41" i="333"/>
  <c r="J41" i="333"/>
  <c r="I40" i="333"/>
  <c r="J40" i="333"/>
  <c r="I39" i="333"/>
  <c r="J39" i="333"/>
  <c r="I38" i="333"/>
  <c r="J38" i="333"/>
  <c r="I37" i="333"/>
  <c r="J37" i="333"/>
  <c r="I36" i="333"/>
  <c r="J36" i="333"/>
  <c r="I35" i="333"/>
  <c r="J35" i="333"/>
  <c r="I34" i="333"/>
  <c r="J34" i="333"/>
  <c r="I33" i="333"/>
  <c r="J33" i="333"/>
  <c r="I32" i="333"/>
  <c r="J32" i="333"/>
  <c r="I31" i="333"/>
  <c r="J31" i="333"/>
  <c r="I30" i="333"/>
  <c r="J30" i="333"/>
  <c r="I29" i="333"/>
  <c r="J29" i="333"/>
  <c r="K28" i="333"/>
  <c r="H28" i="333"/>
  <c r="G28" i="333"/>
  <c r="F28" i="333"/>
  <c r="E28" i="333"/>
  <c r="D28" i="333"/>
  <c r="C28" i="333"/>
  <c r="J27" i="333"/>
  <c r="I26" i="333"/>
  <c r="J26" i="333"/>
  <c r="I25" i="333"/>
  <c r="J25" i="333"/>
  <c r="I24" i="333"/>
  <c r="J24" i="333"/>
  <c r="I23" i="333"/>
  <c r="J23" i="333"/>
  <c r="K22" i="333"/>
  <c r="H22" i="333"/>
  <c r="G22" i="333"/>
  <c r="F22" i="333"/>
  <c r="E22" i="333"/>
  <c r="D22" i="333"/>
  <c r="C22" i="333"/>
  <c r="I21" i="333"/>
  <c r="J21" i="333"/>
  <c r="I20" i="333"/>
  <c r="J20" i="333"/>
  <c r="K19" i="333"/>
  <c r="H19" i="333"/>
  <c r="G19" i="333"/>
  <c r="F19" i="333"/>
  <c r="E19" i="333"/>
  <c r="D19" i="333"/>
  <c r="C19" i="333"/>
  <c r="I18" i="333"/>
  <c r="J18" i="333"/>
  <c r="I17" i="333"/>
  <c r="J17" i="333"/>
  <c r="I16" i="333"/>
  <c r="J16" i="333"/>
  <c r="K15" i="333"/>
  <c r="H15" i="333"/>
  <c r="G15" i="333"/>
  <c r="F15" i="333"/>
  <c r="E15" i="333"/>
  <c r="D15" i="333"/>
  <c r="C15" i="333"/>
  <c r="I14" i="333"/>
  <c r="J14" i="333"/>
  <c r="I13" i="333"/>
  <c r="J13" i="333"/>
  <c r="I12" i="333"/>
  <c r="J12" i="333"/>
  <c r="K11" i="333"/>
  <c r="H11" i="333"/>
  <c r="G11" i="333"/>
  <c r="F11" i="333"/>
  <c r="E11" i="333"/>
  <c r="D11" i="333"/>
  <c r="C11" i="333"/>
  <c r="I10" i="333"/>
  <c r="J10" i="333"/>
  <c r="I9" i="333"/>
  <c r="J9" i="333"/>
  <c r="K8" i="333"/>
  <c r="H8" i="333"/>
  <c r="G8" i="333"/>
  <c r="F8" i="333"/>
  <c r="E8" i="333"/>
  <c r="D8" i="333"/>
  <c r="D7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C24" i="272"/>
  <c r="D174" i="323"/>
  <c r="E174" i="323"/>
  <c r="F174" i="323"/>
  <c r="H174" i="323"/>
  <c r="I174" i="323"/>
  <c r="J174" i="323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/>
  <c r="D3" i="332"/>
  <c r="A4" i="332"/>
  <c r="A196" i="323"/>
  <c r="D4" i="332"/>
  <c r="A5" i="332"/>
  <c r="A207" i="323"/>
  <c r="D5" i="332"/>
  <c r="A6" i="332"/>
  <c r="A218" i="323"/>
  <c r="D6" i="332"/>
  <c r="A7" i="332"/>
  <c r="A229" i="323"/>
  <c r="D7" i="332"/>
  <c r="A8" i="332"/>
  <c r="A240" i="323"/>
  <c r="D8" i="332"/>
  <c r="A9" i="332"/>
  <c r="A251" i="323"/>
  <c r="D9" i="332"/>
  <c r="A10" i="332"/>
  <c r="A14" i="268"/>
  <c r="D10" i="332"/>
  <c r="A11" i="332"/>
  <c r="A105" i="323"/>
  <c r="D11" i="332"/>
  <c r="A12" i="332"/>
  <c r="A16" i="268"/>
  <c r="D12" i="332"/>
  <c r="A13" i="332"/>
  <c r="A35" i="268"/>
  <c r="A14" i="332"/>
  <c r="A18" i="268"/>
  <c r="D14" i="332"/>
  <c r="A15" i="332"/>
  <c r="A37" i="268"/>
  <c r="D15" i="332"/>
  <c r="A16" i="332"/>
  <c r="A20" i="268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G24" i="272"/>
  <c r="I41" i="182"/>
  <c r="J41" i="182"/>
  <c r="I42" i="182"/>
  <c r="J42" i="182"/>
  <c r="I40" i="182"/>
  <c r="J40" i="182"/>
  <c r="K70" i="268"/>
  <c r="K74" i="268"/>
  <c r="H12" i="238"/>
  <c r="F12" i="238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G29" i="241"/>
  <c r="H31" i="241"/>
  <c r="G35" i="241"/>
  <c r="G37" i="241"/>
  <c r="H35" i="241"/>
  <c r="H37" i="241"/>
  <c r="I37" i="241"/>
  <c r="J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G43" i="267"/>
  <c r="I66" i="268"/>
  <c r="J66" i="268"/>
  <c r="K185" i="323"/>
  <c r="K196" i="323"/>
  <c r="K207" i="323"/>
  <c r="K218" i="323"/>
  <c r="K229" i="323"/>
  <c r="K240" i="323"/>
  <c r="K251" i="323"/>
  <c r="K262" i="323"/>
  <c r="K273" i="323"/>
  <c r="K284" i="323"/>
  <c r="K34" i="272"/>
  <c r="K295" i="323"/>
  <c r="K35" i="272"/>
  <c r="K306" i="323"/>
  <c r="K36" i="272"/>
  <c r="K317" i="323"/>
  <c r="K37" i="272"/>
  <c r="K328" i="323"/>
  <c r="K38" i="272"/>
  <c r="H185" i="323"/>
  <c r="H27" i="272"/>
  <c r="H218" i="323"/>
  <c r="H229" i="323"/>
  <c r="H240" i="323"/>
  <c r="H30" i="272"/>
  <c r="H251" i="323"/>
  <c r="H262" i="323"/>
  <c r="H273" i="323"/>
  <c r="H33" i="272"/>
  <c r="H284" i="323"/>
  <c r="H34" i="272"/>
  <c r="H295" i="323"/>
  <c r="H306" i="323"/>
  <c r="H36" i="272"/>
  <c r="H317" i="323"/>
  <c r="H37" i="272"/>
  <c r="H328" i="323"/>
  <c r="H38" i="272"/>
  <c r="G229" i="323"/>
  <c r="G240" i="323"/>
  <c r="G251" i="323"/>
  <c r="G262" i="323"/>
  <c r="G273" i="323"/>
  <c r="G33" i="272"/>
  <c r="G284" i="323"/>
  <c r="G295" i="323"/>
  <c r="G35" i="272"/>
  <c r="G306" i="323"/>
  <c r="G317" i="323"/>
  <c r="G37" i="272"/>
  <c r="G328" i="323"/>
  <c r="F185" i="323"/>
  <c r="F25" i="272"/>
  <c r="F196" i="323"/>
  <c r="F26" i="272"/>
  <c r="F207" i="323"/>
  <c r="F27" i="272"/>
  <c r="F218" i="323"/>
  <c r="F28" i="272"/>
  <c r="F229" i="323"/>
  <c r="F240" i="323"/>
  <c r="F30" i="272"/>
  <c r="F251" i="323"/>
  <c r="F262" i="323"/>
  <c r="F273" i="323"/>
  <c r="F284" i="323"/>
  <c r="F34" i="272"/>
  <c r="F295" i="323"/>
  <c r="F35" i="272"/>
  <c r="F306" i="323"/>
  <c r="F36" i="272"/>
  <c r="F317" i="323"/>
  <c r="F37" i="272"/>
  <c r="F328" i="323"/>
  <c r="F38" i="272"/>
  <c r="E185" i="323"/>
  <c r="E196" i="323"/>
  <c r="E207" i="323"/>
  <c r="E27" i="272"/>
  <c r="E218" i="323"/>
  <c r="E28" i="272"/>
  <c r="E229" i="323"/>
  <c r="E240" i="323"/>
  <c r="E251" i="323"/>
  <c r="E262" i="323"/>
  <c r="E32" i="272"/>
  <c r="E273" i="323"/>
  <c r="E284" i="323"/>
  <c r="E295" i="323"/>
  <c r="E306" i="323"/>
  <c r="E36" i="272"/>
  <c r="E317" i="323"/>
  <c r="E328" i="323"/>
  <c r="D185" i="323"/>
  <c r="D196" i="323"/>
  <c r="D26" i="272"/>
  <c r="D207" i="323"/>
  <c r="D218" i="323"/>
  <c r="D229" i="323"/>
  <c r="D240" i="323"/>
  <c r="D30" i="272"/>
  <c r="D251" i="323"/>
  <c r="D262" i="323"/>
  <c r="D273" i="323"/>
  <c r="D33" i="272"/>
  <c r="D284" i="323"/>
  <c r="D34" i="272"/>
  <c r="D295" i="323"/>
  <c r="D306" i="323"/>
  <c r="D36" i="272"/>
  <c r="D317" i="323"/>
  <c r="D328" i="323"/>
  <c r="D38" i="272"/>
  <c r="C185" i="323"/>
  <c r="C196" i="323"/>
  <c r="C207" i="323"/>
  <c r="C218" i="323"/>
  <c r="C28" i="272"/>
  <c r="C229" i="323"/>
  <c r="C240" i="323"/>
  <c r="C251" i="323"/>
  <c r="C262" i="323"/>
  <c r="C32" i="272"/>
  <c r="C273" i="323"/>
  <c r="C284" i="323"/>
  <c r="C34" i="272"/>
  <c r="C295" i="323"/>
  <c r="C35" i="272"/>
  <c r="C306" i="323"/>
  <c r="C36" i="272"/>
  <c r="C317" i="323"/>
  <c r="C37" i="272"/>
  <c r="C328" i="323"/>
  <c r="C38" i="272"/>
  <c r="D28" i="177"/>
  <c r="D18" i="177"/>
  <c r="K330" i="324"/>
  <c r="K38" i="268"/>
  <c r="K319" i="324"/>
  <c r="K37" i="268"/>
  <c r="K308" i="324"/>
  <c r="K36" i="268"/>
  <c r="K297" i="324"/>
  <c r="K35" i="268"/>
  <c r="K286" i="324"/>
  <c r="K34" i="268"/>
  <c r="K275" i="324"/>
  <c r="K33" i="268"/>
  <c r="K264" i="324"/>
  <c r="K32" i="268"/>
  <c r="K253" i="324"/>
  <c r="K31" i="268"/>
  <c r="K242" i="324"/>
  <c r="K30" i="268"/>
  <c r="K231" i="324"/>
  <c r="K29" i="268"/>
  <c r="K220" i="324"/>
  <c r="K28" i="268"/>
  <c r="K209" i="324"/>
  <c r="K27" i="268"/>
  <c r="K198" i="324"/>
  <c r="K26" i="268"/>
  <c r="K187" i="324"/>
  <c r="K25" i="268"/>
  <c r="K176" i="324"/>
  <c r="K24" i="268"/>
  <c r="G330" i="324"/>
  <c r="G38" i="268"/>
  <c r="H330" i="324"/>
  <c r="H38" i="268"/>
  <c r="F330" i="324"/>
  <c r="F38" i="268"/>
  <c r="E330" i="324"/>
  <c r="E38" i="268"/>
  <c r="D330" i="324"/>
  <c r="D38" i="268"/>
  <c r="G319" i="324"/>
  <c r="G37" i="268"/>
  <c r="H319" i="324"/>
  <c r="H37" i="268"/>
  <c r="F319" i="324"/>
  <c r="F37" i="268"/>
  <c r="E319" i="324"/>
  <c r="E37" i="268"/>
  <c r="D319" i="324"/>
  <c r="D37" i="268"/>
  <c r="G308" i="324"/>
  <c r="G36" i="268"/>
  <c r="H308" i="324"/>
  <c r="H36" i="268"/>
  <c r="F308" i="324"/>
  <c r="F36" i="268"/>
  <c r="E308" i="324"/>
  <c r="E36" i="268"/>
  <c r="D308" i="324"/>
  <c r="D36" i="268"/>
  <c r="G297" i="324"/>
  <c r="G35" i="268"/>
  <c r="H297" i="324"/>
  <c r="F297" i="324"/>
  <c r="F35" i="268"/>
  <c r="E297" i="324"/>
  <c r="E35" i="268"/>
  <c r="D297" i="324"/>
  <c r="D35" i="268"/>
  <c r="G286" i="324"/>
  <c r="G34" i="268"/>
  <c r="H286" i="324"/>
  <c r="H34" i="268"/>
  <c r="F286" i="324"/>
  <c r="F34" i="268"/>
  <c r="E286" i="324"/>
  <c r="E34" i="268"/>
  <c r="D286" i="324"/>
  <c r="D34" i="268"/>
  <c r="G275" i="324"/>
  <c r="G33" i="268"/>
  <c r="H275" i="324"/>
  <c r="H33" i="268"/>
  <c r="F275" i="324"/>
  <c r="F33" i="268"/>
  <c r="E275" i="324"/>
  <c r="E33" i="268"/>
  <c r="D275" i="324"/>
  <c r="D33" i="268"/>
  <c r="G264" i="324"/>
  <c r="G32" i="268"/>
  <c r="H264" i="324"/>
  <c r="H32" i="268"/>
  <c r="F264" i="324"/>
  <c r="F32" i="268"/>
  <c r="E264" i="324"/>
  <c r="E32" i="268"/>
  <c r="D264" i="324"/>
  <c r="D32" i="268"/>
  <c r="G253" i="324"/>
  <c r="G31" i="268"/>
  <c r="H253" i="324"/>
  <c r="F253" i="324"/>
  <c r="F31" i="268"/>
  <c r="E253" i="324"/>
  <c r="E31" i="268"/>
  <c r="D253" i="324"/>
  <c r="D31" i="268"/>
  <c r="G242" i="324"/>
  <c r="G30" i="268"/>
  <c r="H242" i="324"/>
  <c r="H30" i="268"/>
  <c r="F242" i="324"/>
  <c r="F30" i="268"/>
  <c r="E242" i="324"/>
  <c r="E30" i="268"/>
  <c r="D242" i="324"/>
  <c r="D30" i="268"/>
  <c r="G231" i="324"/>
  <c r="G29" i="268"/>
  <c r="H231" i="324"/>
  <c r="H29" i="268"/>
  <c r="F231" i="324"/>
  <c r="F29" i="268"/>
  <c r="E231" i="324"/>
  <c r="E29" i="268"/>
  <c r="D231" i="324"/>
  <c r="D29" i="268"/>
  <c r="G220" i="324"/>
  <c r="G28" i="268"/>
  <c r="H220" i="324"/>
  <c r="H28" i="268"/>
  <c r="F220" i="324"/>
  <c r="F28" i="268"/>
  <c r="E220" i="324"/>
  <c r="E28" i="268"/>
  <c r="D220" i="324"/>
  <c r="D28" i="268"/>
  <c r="G209" i="324"/>
  <c r="G27" i="268"/>
  <c r="F209" i="324"/>
  <c r="F27" i="268"/>
  <c r="F39" i="268"/>
  <c r="F40" i="268"/>
  <c r="E209" i="324"/>
  <c r="E27" i="268"/>
  <c r="D209" i="324"/>
  <c r="D27" i="268"/>
  <c r="G198" i="324"/>
  <c r="G26" i="268"/>
  <c r="H198" i="324"/>
  <c r="F198" i="324"/>
  <c r="F26" i="268"/>
  <c r="E198" i="324"/>
  <c r="E26" i="268"/>
  <c r="D198" i="324"/>
  <c r="D26" i="268"/>
  <c r="G187" i="324"/>
  <c r="G25" i="268"/>
  <c r="H187" i="324"/>
  <c r="H25" i="268"/>
  <c r="F187" i="324"/>
  <c r="F25" i="268"/>
  <c r="E187" i="324"/>
  <c r="E25" i="268"/>
  <c r="D187" i="324"/>
  <c r="D25" i="268"/>
  <c r="G176" i="324"/>
  <c r="G24" i="268"/>
  <c r="H176" i="324"/>
  <c r="H24" i="268"/>
  <c r="F176" i="324"/>
  <c r="F24" i="268"/>
  <c r="E176" i="324"/>
  <c r="E24" i="268"/>
  <c r="D176" i="324"/>
  <c r="D24" i="268"/>
  <c r="C319" i="324"/>
  <c r="C37" i="268"/>
  <c r="C308" i="324"/>
  <c r="C36" i="268"/>
  <c r="C297" i="324"/>
  <c r="C35" i="268"/>
  <c r="C286" i="324"/>
  <c r="C34" i="268"/>
  <c r="C275" i="324"/>
  <c r="C33" i="268"/>
  <c r="C176" i="324"/>
  <c r="C24" i="268"/>
  <c r="C330" i="324"/>
  <c r="C38" i="268"/>
  <c r="C264" i="324"/>
  <c r="C32" i="268"/>
  <c r="C253" i="324"/>
  <c r="C31" i="268"/>
  <c r="C242" i="324"/>
  <c r="C30" i="268"/>
  <c r="C231" i="324"/>
  <c r="C29" i="268"/>
  <c r="C220" i="324"/>
  <c r="C28" i="268"/>
  <c r="C209" i="324"/>
  <c r="C27" i="268"/>
  <c r="C198" i="324"/>
  <c r="C26" i="268"/>
  <c r="C187" i="324"/>
  <c r="C25" i="268"/>
  <c r="K161" i="324"/>
  <c r="K20" i="268"/>
  <c r="K150" i="324"/>
  <c r="K19" i="268"/>
  <c r="K139" i="324"/>
  <c r="K18" i="268"/>
  <c r="K128" i="324"/>
  <c r="K17" i="268"/>
  <c r="K117" i="324"/>
  <c r="K16" i="268"/>
  <c r="K106" i="324"/>
  <c r="K15" i="268"/>
  <c r="K95" i="324"/>
  <c r="K14" i="268"/>
  <c r="K84" i="324"/>
  <c r="K13" i="268"/>
  <c r="K73" i="324"/>
  <c r="K12" i="268"/>
  <c r="K62" i="324"/>
  <c r="K11" i="268"/>
  <c r="K51" i="324"/>
  <c r="K10" i="268"/>
  <c r="K40" i="324"/>
  <c r="K9" i="268"/>
  <c r="K29" i="324"/>
  <c r="K8" i="268"/>
  <c r="K18" i="324"/>
  <c r="K7" i="268"/>
  <c r="K7" i="324"/>
  <c r="K6" i="268"/>
  <c r="K21" i="268"/>
  <c r="H161" i="324"/>
  <c r="H20" i="268"/>
  <c r="G161" i="324"/>
  <c r="G20" i="268"/>
  <c r="F161" i="324"/>
  <c r="F20" i="268"/>
  <c r="E161" i="324"/>
  <c r="E20" i="268"/>
  <c r="D161" i="324"/>
  <c r="D20" i="268"/>
  <c r="H150" i="324"/>
  <c r="H19" i="268"/>
  <c r="G150" i="324"/>
  <c r="G19" i="268"/>
  <c r="F150" i="324"/>
  <c r="F19" i="268"/>
  <c r="E150" i="324"/>
  <c r="E19" i="268"/>
  <c r="D150" i="324"/>
  <c r="D19" i="268"/>
  <c r="H139" i="324"/>
  <c r="H18" i="268"/>
  <c r="G139" i="324"/>
  <c r="F139" i="324"/>
  <c r="F18" i="268"/>
  <c r="E139" i="324"/>
  <c r="E18" i="268"/>
  <c r="D139" i="324"/>
  <c r="D18" i="268"/>
  <c r="H128" i="324"/>
  <c r="G128" i="324"/>
  <c r="G17" i="268"/>
  <c r="F128" i="324"/>
  <c r="F17" i="268"/>
  <c r="E128" i="324"/>
  <c r="E17" i="268"/>
  <c r="D128" i="324"/>
  <c r="D17" i="268"/>
  <c r="H117" i="324"/>
  <c r="H16" i="268"/>
  <c r="G117" i="324"/>
  <c r="G16" i="268"/>
  <c r="F117" i="324"/>
  <c r="F16" i="268"/>
  <c r="E117" i="324"/>
  <c r="E16" i="268"/>
  <c r="D117" i="324"/>
  <c r="D16" i="268"/>
  <c r="H106" i="324"/>
  <c r="H15" i="268"/>
  <c r="G106" i="324"/>
  <c r="G15" i="268"/>
  <c r="F106" i="324"/>
  <c r="F15" i="268"/>
  <c r="E106" i="324"/>
  <c r="E15" i="268"/>
  <c r="D106" i="324"/>
  <c r="D15" i="268"/>
  <c r="H95" i="324"/>
  <c r="H14" i="268"/>
  <c r="G95" i="324"/>
  <c r="F95" i="324"/>
  <c r="F14" i="268"/>
  <c r="E95" i="324"/>
  <c r="E14" i="268"/>
  <c r="D95" i="324"/>
  <c r="D14" i="268"/>
  <c r="H84" i="324"/>
  <c r="G84" i="324"/>
  <c r="G13" i="268"/>
  <c r="F84" i="324"/>
  <c r="F13" i="268"/>
  <c r="E84" i="324"/>
  <c r="E13" i="268"/>
  <c r="D84" i="324"/>
  <c r="D13" i="268"/>
  <c r="H73" i="324"/>
  <c r="H12" i="268"/>
  <c r="G73" i="324"/>
  <c r="G12" i="268"/>
  <c r="F73" i="324"/>
  <c r="F12" i="268"/>
  <c r="E73" i="324"/>
  <c r="E12" i="268"/>
  <c r="D73" i="324"/>
  <c r="D12" i="268"/>
  <c r="H62" i="324"/>
  <c r="H11" i="268"/>
  <c r="G62" i="324"/>
  <c r="G11" i="268"/>
  <c r="F62" i="324"/>
  <c r="F11" i="268"/>
  <c r="E62" i="324"/>
  <c r="E11" i="268"/>
  <c r="D62" i="324"/>
  <c r="D11" i="268"/>
  <c r="H51" i="324"/>
  <c r="H10" i="268"/>
  <c r="G51" i="324"/>
  <c r="F51" i="324"/>
  <c r="F10" i="268"/>
  <c r="E51" i="324"/>
  <c r="E10" i="268"/>
  <c r="D51" i="324"/>
  <c r="D10" i="268"/>
  <c r="H40" i="324"/>
  <c r="H9" i="268"/>
  <c r="G40" i="324"/>
  <c r="G9" i="268"/>
  <c r="F40" i="324"/>
  <c r="F9" i="268"/>
  <c r="E40" i="324"/>
  <c r="E9" i="268"/>
  <c r="D40" i="324"/>
  <c r="D9" i="268"/>
  <c r="H29" i="324"/>
  <c r="H8" i="268"/>
  <c r="G29" i="324"/>
  <c r="G8" i="268"/>
  <c r="F29" i="324"/>
  <c r="F8" i="268"/>
  <c r="E29" i="324"/>
  <c r="E8" i="268"/>
  <c r="D29" i="324"/>
  <c r="D8" i="268"/>
  <c r="H18" i="324"/>
  <c r="H7" i="268"/>
  <c r="G18" i="324"/>
  <c r="G7" i="268"/>
  <c r="F18" i="324"/>
  <c r="F7" i="268"/>
  <c r="E18" i="324"/>
  <c r="E7" i="268"/>
  <c r="D18" i="324"/>
  <c r="D7" i="268"/>
  <c r="H7" i="324"/>
  <c r="H6" i="268"/>
  <c r="G7" i="324"/>
  <c r="F7" i="324"/>
  <c r="F6" i="268"/>
  <c r="E7" i="324"/>
  <c r="E6" i="268"/>
  <c r="D7" i="324"/>
  <c r="D6" i="268"/>
  <c r="C161" i="324"/>
  <c r="C20" i="268"/>
  <c r="C150" i="324"/>
  <c r="C19" i="268"/>
  <c r="C139" i="324"/>
  <c r="C18" i="268"/>
  <c r="C128" i="324"/>
  <c r="C17" i="268"/>
  <c r="C117" i="324"/>
  <c r="C16" i="268"/>
  <c r="C106" i="324"/>
  <c r="C15" i="268"/>
  <c r="C95" i="324"/>
  <c r="C14" i="268"/>
  <c r="C84" i="324"/>
  <c r="C13" i="268"/>
  <c r="C73" i="324"/>
  <c r="C12" i="268"/>
  <c r="C62" i="324"/>
  <c r="C11" i="268"/>
  <c r="C51" i="324"/>
  <c r="C10" i="268"/>
  <c r="C40" i="324"/>
  <c r="C9" i="268"/>
  <c r="C29" i="324"/>
  <c r="C8" i="268"/>
  <c r="C18" i="324"/>
  <c r="C7" i="268"/>
  <c r="C7" i="324"/>
  <c r="C6" i="268"/>
  <c r="D70" i="268"/>
  <c r="D74" i="268"/>
  <c r="E70" i="268"/>
  <c r="F70" i="268"/>
  <c r="F74" i="268"/>
  <c r="G70" i="268"/>
  <c r="F29" i="267"/>
  <c r="H70" i="268"/>
  <c r="H74" i="268"/>
  <c r="K39" i="268"/>
  <c r="C70" i="268"/>
  <c r="A75" i="100"/>
  <c r="C18" i="177"/>
  <c r="B43" i="26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I8" i="242"/>
  <c r="J8" i="242"/>
  <c r="H11" i="242"/>
  <c r="H15" i="242"/>
  <c r="H19" i="242"/>
  <c r="I19" i="242"/>
  <c r="J19" i="242"/>
  <c r="H22" i="242"/>
  <c r="I22" i="242"/>
  <c r="J22" i="242"/>
  <c r="H28" i="242"/>
  <c r="H43" i="242"/>
  <c r="H47" i="242"/>
  <c r="I47" i="242"/>
  <c r="J47" i="242"/>
  <c r="H64" i="242"/>
  <c r="I64" i="242"/>
  <c r="J64" i="242"/>
  <c r="H68" i="242"/>
  <c r="H72" i="242"/>
  <c r="H8" i="326"/>
  <c r="I8" i="326"/>
  <c r="J8" i="326"/>
  <c r="H11" i="326"/>
  <c r="I11" i="326"/>
  <c r="J11" i="326"/>
  <c r="H15" i="326"/>
  <c r="H19" i="326"/>
  <c r="H22" i="326"/>
  <c r="I22" i="326"/>
  <c r="J22" i="326"/>
  <c r="H28" i="326"/>
  <c r="I28" i="326"/>
  <c r="J28" i="326"/>
  <c r="H43" i="326"/>
  <c r="H47" i="326"/>
  <c r="H64" i="326"/>
  <c r="H68" i="326"/>
  <c r="I68" i="326"/>
  <c r="J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3" i="272"/>
  <c r="E38" i="272"/>
  <c r="E37" i="272"/>
  <c r="D37" i="272"/>
  <c r="H35" i="272"/>
  <c r="E35" i="272"/>
  <c r="D35" i="272"/>
  <c r="E34" i="272"/>
  <c r="F33" i="272"/>
  <c r="E33" i="272"/>
  <c r="C33" i="272"/>
  <c r="K160" i="323"/>
  <c r="K20" i="272"/>
  <c r="K149" i="323"/>
  <c r="K19" i="272"/>
  <c r="K138" i="323"/>
  <c r="K18" i="272"/>
  <c r="K127" i="323"/>
  <c r="K17" i="272"/>
  <c r="K116" i="323"/>
  <c r="K16" i="272"/>
  <c r="K105" i="323"/>
  <c r="K15" i="272"/>
  <c r="K94" i="323"/>
  <c r="K14" i="272"/>
  <c r="G105" i="323"/>
  <c r="H105" i="323"/>
  <c r="H15" i="272"/>
  <c r="G116" i="323"/>
  <c r="G16" i="272"/>
  <c r="H116" i="323"/>
  <c r="G127" i="323"/>
  <c r="H127" i="323"/>
  <c r="H17" i="272"/>
  <c r="G138" i="323"/>
  <c r="G18" i="272"/>
  <c r="H138" i="323"/>
  <c r="H18" i="272"/>
  <c r="G149" i="323"/>
  <c r="H149" i="323"/>
  <c r="H19" i="272"/>
  <c r="G160" i="323"/>
  <c r="G20" i="272"/>
  <c r="H160" i="323"/>
  <c r="F160" i="323"/>
  <c r="F20" i="272"/>
  <c r="E160" i="323"/>
  <c r="E20" i="272"/>
  <c r="D160" i="323"/>
  <c r="D20" i="272"/>
  <c r="F149" i="323"/>
  <c r="F19" i="272"/>
  <c r="E149" i="323"/>
  <c r="E19" i="272"/>
  <c r="D149" i="323"/>
  <c r="D19" i="272"/>
  <c r="F138" i="323"/>
  <c r="F18" i="272"/>
  <c r="E138" i="323"/>
  <c r="E18" i="272"/>
  <c r="D138" i="323"/>
  <c r="D18" i="272"/>
  <c r="F127" i="323"/>
  <c r="F17" i="272"/>
  <c r="E127" i="323"/>
  <c r="E17" i="272"/>
  <c r="D127" i="323"/>
  <c r="D17" i="272"/>
  <c r="F116" i="323"/>
  <c r="F16" i="272"/>
  <c r="E116" i="323"/>
  <c r="E16" i="272"/>
  <c r="D116" i="323"/>
  <c r="D16" i="272"/>
  <c r="F105" i="323"/>
  <c r="F15" i="272"/>
  <c r="E105" i="323"/>
  <c r="E15" i="272"/>
  <c r="D105" i="323"/>
  <c r="D15" i="272"/>
  <c r="C160" i="323"/>
  <c r="C20" i="272"/>
  <c r="C149" i="323"/>
  <c r="C19" i="272"/>
  <c r="C138" i="323"/>
  <c r="C18" i="272"/>
  <c r="C127" i="323"/>
  <c r="C17" i="272"/>
  <c r="C116" i="323"/>
  <c r="C16" i="272"/>
  <c r="X36" i="329"/>
  <c r="F77" i="100"/>
  <c r="B77" i="100"/>
  <c r="B27" i="322"/>
  <c r="B73" i="100"/>
  <c r="I79" i="242"/>
  <c r="J79" i="242"/>
  <c r="I80" i="242"/>
  <c r="J80" i="242"/>
  <c r="I81" i="242"/>
  <c r="J81" i="242"/>
  <c r="I82" i="242"/>
  <c r="J82" i="242"/>
  <c r="I79" i="326"/>
  <c r="J79" i="326"/>
  <c r="I80" i="326"/>
  <c r="J80" i="326"/>
  <c r="I81" i="326"/>
  <c r="J81" i="326"/>
  <c r="I82" i="326"/>
  <c r="J82" i="326"/>
  <c r="I79" i="325"/>
  <c r="J79" i="325"/>
  <c r="I80" i="325"/>
  <c r="J80" i="325"/>
  <c r="I81" i="325"/>
  <c r="J81" i="325"/>
  <c r="I82" i="325"/>
  <c r="J82" i="325"/>
  <c r="H78" i="242"/>
  <c r="H52" i="242"/>
  <c r="H50" i="242"/>
  <c r="G78" i="242"/>
  <c r="G52" i="242"/>
  <c r="H78" i="326"/>
  <c r="H52" i="326"/>
  <c r="H50" i="326"/>
  <c r="G78" i="326"/>
  <c r="G52" i="326"/>
  <c r="G50" i="326"/>
  <c r="H78" i="325"/>
  <c r="G78" i="325"/>
  <c r="G52" i="325"/>
  <c r="K78" i="242"/>
  <c r="K52" i="242"/>
  <c r="K50" i="242"/>
  <c r="F78" i="242"/>
  <c r="F52" i="242"/>
  <c r="F50" i="242"/>
  <c r="E78" i="242"/>
  <c r="E52" i="242"/>
  <c r="E50" i="242"/>
  <c r="D78" i="242"/>
  <c r="D52" i="242"/>
  <c r="D50" i="242"/>
  <c r="C78" i="242"/>
  <c r="C52" i="242"/>
  <c r="C50" i="242"/>
  <c r="K78" i="326"/>
  <c r="K52" i="326"/>
  <c r="K50" i="326"/>
  <c r="F78" i="326"/>
  <c r="F52" i="326"/>
  <c r="F50" i="326"/>
  <c r="E78" i="326"/>
  <c r="E52" i="326"/>
  <c r="E50" i="326"/>
  <c r="D78" i="326"/>
  <c r="D52" i="326"/>
  <c r="D50" i="326"/>
  <c r="C78" i="326"/>
  <c r="C52" i="326"/>
  <c r="C50" i="326"/>
  <c r="K78" i="325"/>
  <c r="K52" i="325"/>
  <c r="F78" i="325"/>
  <c r="F52" i="325"/>
  <c r="E78" i="325"/>
  <c r="E52" i="325"/>
  <c r="D78" i="325"/>
  <c r="D52" i="325"/>
  <c r="C78" i="325"/>
  <c r="C52" i="325"/>
  <c r="C7" i="330"/>
  <c r="C7" i="241"/>
  <c r="C11" i="330"/>
  <c r="C9" i="241"/>
  <c r="C17" i="330"/>
  <c r="C11" i="241"/>
  <c r="C27" i="330"/>
  <c r="C34" i="330"/>
  <c r="C15" i="241"/>
  <c r="C39" i="330"/>
  <c r="C17" i="241"/>
  <c r="C43" i="330"/>
  <c r="C18" i="241"/>
  <c r="C49" i="330"/>
  <c r="C19" i="241"/>
  <c r="C54" i="330"/>
  <c r="C57" i="330"/>
  <c r="C22" i="241"/>
  <c r="C60" i="330"/>
  <c r="C23" i="241"/>
  <c r="C64" i="330"/>
  <c r="C24" i="241"/>
  <c r="K7" i="330"/>
  <c r="K11" i="330"/>
  <c r="K9" i="241"/>
  <c r="K17" i="330"/>
  <c r="K27" i="330"/>
  <c r="K13" i="241"/>
  <c r="K34" i="330"/>
  <c r="K15" i="241"/>
  <c r="K39" i="330"/>
  <c r="K17" i="241"/>
  <c r="K43" i="330"/>
  <c r="K49" i="330"/>
  <c r="K19" i="241"/>
  <c r="K54" i="330"/>
  <c r="K57" i="330"/>
  <c r="K22" i="241"/>
  <c r="K60" i="330"/>
  <c r="K23" i="241"/>
  <c r="K64" i="330"/>
  <c r="K24" i="241"/>
  <c r="K66" i="330"/>
  <c r="K25" i="241"/>
  <c r="K76" i="330"/>
  <c r="K30" i="241"/>
  <c r="K80" i="330"/>
  <c r="K86" i="330"/>
  <c r="K34" i="241"/>
  <c r="K96" i="330"/>
  <c r="K103" i="330"/>
  <c r="K38" i="241"/>
  <c r="K108" i="330"/>
  <c r="K112" i="330"/>
  <c r="K41" i="241"/>
  <c r="K118" i="330"/>
  <c r="K42" i="241"/>
  <c r="K123" i="330"/>
  <c r="K44" i="241"/>
  <c r="K126" i="330"/>
  <c r="K45" i="241"/>
  <c r="K129" i="330"/>
  <c r="K46" i="241"/>
  <c r="K133" i="330"/>
  <c r="K47" i="241"/>
  <c r="K135" i="330"/>
  <c r="K48" i="241"/>
  <c r="H7" i="241"/>
  <c r="H11" i="330"/>
  <c r="H9" i="241"/>
  <c r="H11" i="241"/>
  <c r="H27" i="330"/>
  <c r="H34" i="330"/>
  <c r="H15" i="241"/>
  <c r="H39" i="330"/>
  <c r="H17" i="241"/>
  <c r="H43" i="330"/>
  <c r="H18" i="241"/>
  <c r="I18" i="241"/>
  <c r="J18" i="241"/>
  <c r="H49" i="330"/>
  <c r="H54" i="330"/>
  <c r="H57" i="330"/>
  <c r="H22" i="241"/>
  <c r="H60" i="330"/>
  <c r="H23" i="241"/>
  <c r="I23" i="241"/>
  <c r="J23" i="241"/>
  <c r="H64" i="330"/>
  <c r="H24" i="241"/>
  <c r="I24" i="241"/>
  <c r="J24" i="241"/>
  <c r="H66" i="330"/>
  <c r="H76" i="330"/>
  <c r="H30" i="241"/>
  <c r="H80" i="330"/>
  <c r="H32" i="241"/>
  <c r="H86" i="330"/>
  <c r="H96" i="330"/>
  <c r="H36" i="241"/>
  <c r="H103" i="330"/>
  <c r="H38" i="241"/>
  <c r="H108" i="330"/>
  <c r="H40" i="241"/>
  <c r="H112" i="330"/>
  <c r="H41" i="241"/>
  <c r="H118" i="330"/>
  <c r="H42" i="241"/>
  <c r="H123" i="330"/>
  <c r="H44" i="241"/>
  <c r="H126" i="330"/>
  <c r="H45" i="241"/>
  <c r="I45" i="241"/>
  <c r="J45" i="241"/>
  <c r="H129" i="330"/>
  <c r="H46" i="241"/>
  <c r="I46" i="241"/>
  <c r="J46" i="241"/>
  <c r="H133" i="330"/>
  <c r="H47" i="241"/>
  <c r="H135" i="330"/>
  <c r="G7" i="241"/>
  <c r="G11" i="330"/>
  <c r="G9" i="241"/>
  <c r="G17" i="330"/>
  <c r="G27" i="330"/>
  <c r="G13" i="241"/>
  <c r="G34" i="330"/>
  <c r="G39" i="330"/>
  <c r="G17" i="241"/>
  <c r="G43" i="330"/>
  <c r="G49" i="330"/>
  <c r="G54" i="330"/>
  <c r="G57" i="330"/>
  <c r="G22" i="241"/>
  <c r="G60" i="330"/>
  <c r="G23" i="241"/>
  <c r="G64" i="330"/>
  <c r="G24" i="241"/>
  <c r="G66" i="330"/>
  <c r="G25" i="241"/>
  <c r="G76" i="330"/>
  <c r="G30" i="241"/>
  <c r="G86" i="330"/>
  <c r="G96" i="330"/>
  <c r="G36" i="241"/>
  <c r="G103" i="330"/>
  <c r="G38" i="241"/>
  <c r="G108" i="330"/>
  <c r="G40" i="241"/>
  <c r="G112" i="330"/>
  <c r="G41" i="241"/>
  <c r="G39" i="241"/>
  <c r="G118" i="330"/>
  <c r="G123" i="330"/>
  <c r="G126" i="330"/>
  <c r="G46" i="241"/>
  <c r="G133" i="330"/>
  <c r="G135" i="330"/>
  <c r="G48" i="241"/>
  <c r="F7" i="241"/>
  <c r="F11" i="330"/>
  <c r="F9" i="241"/>
  <c r="F17" i="330"/>
  <c r="F11" i="241"/>
  <c r="F27" i="330"/>
  <c r="F13" i="241"/>
  <c r="F34" i="330"/>
  <c r="F15" i="241"/>
  <c r="F39" i="330"/>
  <c r="F43" i="330"/>
  <c r="F18" i="241"/>
  <c r="F49" i="330"/>
  <c r="F19" i="241"/>
  <c r="F54" i="330"/>
  <c r="F21" i="241"/>
  <c r="F57" i="330"/>
  <c r="F22" i="241"/>
  <c r="F60" i="330"/>
  <c r="F23" i="241"/>
  <c r="F64" i="330"/>
  <c r="F24" i="241"/>
  <c r="F66" i="330"/>
  <c r="F25" i="241"/>
  <c r="F76" i="330"/>
  <c r="F30" i="241"/>
  <c r="F80" i="330"/>
  <c r="F32" i="241"/>
  <c r="F86" i="330"/>
  <c r="F34" i="241"/>
  <c r="F96" i="330"/>
  <c r="F36" i="241"/>
  <c r="F103" i="330"/>
  <c r="F38" i="241"/>
  <c r="F108" i="330"/>
  <c r="F112" i="330"/>
  <c r="F41" i="241"/>
  <c r="F118" i="330"/>
  <c r="F42" i="241"/>
  <c r="F123" i="330"/>
  <c r="F126" i="330"/>
  <c r="F45" i="241"/>
  <c r="F46" i="241"/>
  <c r="F133" i="330"/>
  <c r="F47" i="241"/>
  <c r="F135" i="330"/>
  <c r="F48" i="241"/>
  <c r="E7" i="330"/>
  <c r="E11" i="330"/>
  <c r="E9" i="241"/>
  <c r="E17" i="330"/>
  <c r="E27" i="330"/>
  <c r="E13" i="241"/>
  <c r="E34" i="330"/>
  <c r="E15" i="241"/>
  <c r="E39" i="330"/>
  <c r="E17" i="241"/>
  <c r="E43" i="330"/>
  <c r="E49" i="330"/>
  <c r="E19" i="241"/>
  <c r="E54" i="330"/>
  <c r="E57" i="330"/>
  <c r="E22" i="241"/>
  <c r="E60" i="330"/>
  <c r="E23" i="241"/>
  <c r="E64" i="330"/>
  <c r="E24" i="241"/>
  <c r="E66" i="330"/>
  <c r="E25" i="241"/>
  <c r="E76" i="330"/>
  <c r="E30" i="241"/>
  <c r="E80" i="330"/>
  <c r="E86" i="330"/>
  <c r="E34" i="241"/>
  <c r="E96" i="330"/>
  <c r="E36" i="241"/>
  <c r="E103" i="330"/>
  <c r="E38" i="241"/>
  <c r="E108" i="330"/>
  <c r="E112" i="330"/>
  <c r="E41" i="241"/>
  <c r="E118" i="330"/>
  <c r="E42" i="241"/>
  <c r="E123" i="330"/>
  <c r="E126" i="330"/>
  <c r="E45" i="241"/>
  <c r="E129" i="330"/>
  <c r="E46" i="241"/>
  <c r="E133" i="330"/>
  <c r="E47" i="241"/>
  <c r="E135" i="330"/>
  <c r="E48" i="241"/>
  <c r="D7" i="330"/>
  <c r="D7" i="241"/>
  <c r="D11" i="330"/>
  <c r="D9" i="241"/>
  <c r="D17" i="330"/>
  <c r="D27" i="330"/>
  <c r="D13" i="241"/>
  <c r="D34" i="330"/>
  <c r="D15" i="241"/>
  <c r="D39" i="330"/>
  <c r="D17" i="241"/>
  <c r="D43" i="330"/>
  <c r="D18" i="241"/>
  <c r="D49" i="330"/>
  <c r="D19" i="241"/>
  <c r="D54" i="330"/>
  <c r="D57" i="330"/>
  <c r="D60" i="330"/>
  <c r="D23" i="241"/>
  <c r="D64" i="330"/>
  <c r="D24" i="241"/>
  <c r="D66" i="330"/>
  <c r="D25" i="241"/>
  <c r="D76" i="330"/>
  <c r="D80" i="330"/>
  <c r="D32" i="241"/>
  <c r="D86" i="330"/>
  <c r="D96" i="330"/>
  <c r="D36" i="241"/>
  <c r="D103" i="330"/>
  <c r="D38" i="241"/>
  <c r="D108" i="330"/>
  <c r="D112" i="330"/>
  <c r="D41" i="241"/>
  <c r="D118" i="330"/>
  <c r="D42" i="241"/>
  <c r="D123" i="330"/>
  <c r="D126" i="330"/>
  <c r="D45" i="241"/>
  <c r="D129" i="330"/>
  <c r="D46" i="241"/>
  <c r="D133" i="330"/>
  <c r="D47" i="241"/>
  <c r="D135" i="330"/>
  <c r="D48" i="241"/>
  <c r="C135" i="330"/>
  <c r="C48" i="241"/>
  <c r="C133" i="330"/>
  <c r="C47" i="241"/>
  <c r="C129" i="330"/>
  <c r="C46" i="241"/>
  <c r="C126" i="330"/>
  <c r="C123" i="330"/>
  <c r="C118" i="330"/>
  <c r="C42" i="241"/>
  <c r="C112" i="330"/>
  <c r="C41" i="241"/>
  <c r="C108" i="330"/>
  <c r="C40" i="241"/>
  <c r="C103" i="330"/>
  <c r="C38" i="241"/>
  <c r="C96" i="330"/>
  <c r="C36" i="241"/>
  <c r="C86" i="330"/>
  <c r="C34" i="241"/>
  <c r="C80" i="330"/>
  <c r="C32" i="241"/>
  <c r="C76" i="330"/>
  <c r="C30" i="241"/>
  <c r="I140" i="330"/>
  <c r="J140" i="330"/>
  <c r="I139" i="330"/>
  <c r="J139" i="330"/>
  <c r="I138" i="330"/>
  <c r="J138" i="330"/>
  <c r="I137" i="330"/>
  <c r="J137" i="330"/>
  <c r="I136" i="330"/>
  <c r="J136" i="330"/>
  <c r="I134" i="330"/>
  <c r="J134" i="330"/>
  <c r="I132" i="330"/>
  <c r="J132" i="330"/>
  <c r="I131" i="330"/>
  <c r="J131" i="330"/>
  <c r="I130" i="330"/>
  <c r="J130" i="330"/>
  <c r="I128" i="330"/>
  <c r="J128" i="330"/>
  <c r="I127" i="330"/>
  <c r="J127" i="330"/>
  <c r="I125" i="330"/>
  <c r="J125" i="330"/>
  <c r="I124" i="330"/>
  <c r="J124" i="330"/>
  <c r="I121" i="330"/>
  <c r="J121" i="330"/>
  <c r="I120" i="330"/>
  <c r="J120" i="330"/>
  <c r="I119" i="330"/>
  <c r="J119" i="330"/>
  <c r="I117" i="330"/>
  <c r="J117" i="330"/>
  <c r="I116" i="330"/>
  <c r="J116" i="330"/>
  <c r="I115" i="330"/>
  <c r="J115" i="330"/>
  <c r="I114" i="330"/>
  <c r="J114" i="330"/>
  <c r="I113" i="330"/>
  <c r="J113" i="330"/>
  <c r="I111" i="330"/>
  <c r="J111" i="330"/>
  <c r="I110" i="330"/>
  <c r="J110" i="330"/>
  <c r="I109" i="330"/>
  <c r="J109" i="330"/>
  <c r="I106" i="330"/>
  <c r="J106" i="330"/>
  <c r="I105" i="330"/>
  <c r="J105" i="330"/>
  <c r="I104" i="330"/>
  <c r="J104" i="330"/>
  <c r="I102" i="330"/>
  <c r="J102" i="330"/>
  <c r="I101" i="330"/>
  <c r="J101" i="330"/>
  <c r="I100" i="330"/>
  <c r="J100" i="330"/>
  <c r="I99" i="330"/>
  <c r="J99" i="330"/>
  <c r="I98" i="330"/>
  <c r="J98" i="330"/>
  <c r="I97" i="330"/>
  <c r="J97" i="330"/>
  <c r="I95" i="330"/>
  <c r="J95" i="330"/>
  <c r="I94" i="330"/>
  <c r="J94" i="330"/>
  <c r="I92" i="330"/>
  <c r="J92" i="330"/>
  <c r="I91" i="330"/>
  <c r="J91" i="330"/>
  <c r="I90" i="330"/>
  <c r="J90" i="330"/>
  <c r="I89" i="330"/>
  <c r="J89" i="330"/>
  <c r="I88" i="330"/>
  <c r="J88" i="330"/>
  <c r="I87" i="330"/>
  <c r="J87" i="330"/>
  <c r="I84" i="330"/>
  <c r="J84" i="330"/>
  <c r="I83" i="330"/>
  <c r="J83" i="330"/>
  <c r="I82" i="330"/>
  <c r="J82" i="330"/>
  <c r="I81" i="330"/>
  <c r="J81" i="330"/>
  <c r="I79" i="330"/>
  <c r="J79" i="330"/>
  <c r="I78" i="330"/>
  <c r="J78" i="330"/>
  <c r="I77" i="330"/>
  <c r="J77" i="330"/>
  <c r="I71" i="330"/>
  <c r="J71" i="330"/>
  <c r="I70" i="330"/>
  <c r="J70" i="330"/>
  <c r="I69" i="330"/>
  <c r="J69" i="330"/>
  <c r="I68" i="330"/>
  <c r="J68" i="330"/>
  <c r="I67" i="330"/>
  <c r="J67" i="330"/>
  <c r="I65" i="330"/>
  <c r="J65" i="330"/>
  <c r="I63" i="330"/>
  <c r="J63" i="330"/>
  <c r="I62" i="330"/>
  <c r="J62" i="330"/>
  <c r="I61" i="330"/>
  <c r="J61" i="330"/>
  <c r="I59" i="330"/>
  <c r="J59" i="330"/>
  <c r="I58" i="330"/>
  <c r="J58" i="330"/>
  <c r="I56" i="330"/>
  <c r="J56" i="330"/>
  <c r="I55" i="330"/>
  <c r="J55" i="330"/>
  <c r="I52" i="330"/>
  <c r="J52" i="330"/>
  <c r="I51" i="330"/>
  <c r="J51" i="330"/>
  <c r="I50" i="330"/>
  <c r="J50" i="330"/>
  <c r="I48" i="330"/>
  <c r="J48" i="330"/>
  <c r="I47" i="330"/>
  <c r="J47" i="330"/>
  <c r="I46" i="330"/>
  <c r="J46" i="330"/>
  <c r="I45" i="330"/>
  <c r="J45" i="330"/>
  <c r="I44" i="330"/>
  <c r="J44" i="330"/>
  <c r="I42" i="330"/>
  <c r="J42" i="330"/>
  <c r="I41" i="330"/>
  <c r="J41" i="330"/>
  <c r="I40" i="330"/>
  <c r="J40" i="330"/>
  <c r="I37" i="330"/>
  <c r="J37" i="330"/>
  <c r="I36" i="330"/>
  <c r="J36" i="330"/>
  <c r="I35" i="330"/>
  <c r="J35" i="330"/>
  <c r="I33" i="330"/>
  <c r="J33" i="330"/>
  <c r="I32" i="330"/>
  <c r="J32" i="330"/>
  <c r="I31" i="330"/>
  <c r="J31" i="330"/>
  <c r="I30" i="330"/>
  <c r="J30" i="330"/>
  <c r="I29" i="330"/>
  <c r="J29" i="330"/>
  <c r="I28" i="330"/>
  <c r="J28" i="330"/>
  <c r="I26" i="330"/>
  <c r="J26" i="330"/>
  <c r="I25" i="330"/>
  <c r="J25" i="330"/>
  <c r="I24" i="330"/>
  <c r="J24" i="330"/>
  <c r="I23" i="330"/>
  <c r="J23" i="330"/>
  <c r="I22" i="330"/>
  <c r="J22" i="330"/>
  <c r="I21" i="330"/>
  <c r="J21" i="330"/>
  <c r="I20" i="330"/>
  <c r="J20" i="330"/>
  <c r="I19" i="330"/>
  <c r="J19" i="330"/>
  <c r="I18" i="330"/>
  <c r="J18" i="330"/>
  <c r="I15" i="330"/>
  <c r="J15" i="330"/>
  <c r="I14" i="330"/>
  <c r="J14" i="330"/>
  <c r="I13" i="330"/>
  <c r="J13" i="330"/>
  <c r="I12" i="330"/>
  <c r="J12" i="330"/>
  <c r="I10" i="330"/>
  <c r="J10" i="330"/>
  <c r="I9" i="330"/>
  <c r="J9" i="330"/>
  <c r="I8" i="330"/>
  <c r="J8" i="330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/>
  <c r="F83" i="100"/>
  <c r="F82" i="100"/>
  <c r="B82" i="100"/>
  <c r="F81" i="100"/>
  <c r="F80" i="100"/>
  <c r="B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K37" i="177"/>
  <c r="J45" i="267"/>
  <c r="H37" i="177"/>
  <c r="G37" i="177"/>
  <c r="F45" i="267"/>
  <c r="F37" i="177"/>
  <c r="E37" i="177"/>
  <c r="D45" i="267"/>
  <c r="D37" i="177"/>
  <c r="C37" i="177"/>
  <c r="B45" i="267"/>
  <c r="K28" i="177"/>
  <c r="H28" i="177"/>
  <c r="G28" i="177"/>
  <c r="F44" i="267"/>
  <c r="H44" i="267"/>
  <c r="I44" i="267"/>
  <c r="F28" i="177"/>
  <c r="E28" i="177"/>
  <c r="D44" i="267"/>
  <c r="C28" i="177"/>
  <c r="K18" i="177"/>
  <c r="F18" i="177"/>
  <c r="E43" i="267"/>
  <c r="E18" i="177"/>
  <c r="D43" i="267"/>
  <c r="E77" i="100"/>
  <c r="E46" i="267"/>
  <c r="G48" i="178"/>
  <c r="J40" i="267"/>
  <c r="G40" i="178"/>
  <c r="J39" i="267"/>
  <c r="G35" i="178"/>
  <c r="G25" i="178"/>
  <c r="J37" i="267"/>
  <c r="G13" i="178"/>
  <c r="J36" i="267"/>
  <c r="E48" i="178"/>
  <c r="D40" i="267"/>
  <c r="D48" i="178"/>
  <c r="E40" i="178"/>
  <c r="D39" i="267"/>
  <c r="D40" i="178"/>
  <c r="C39" i="267"/>
  <c r="E35" i="178"/>
  <c r="D35" i="178"/>
  <c r="E25" i="178"/>
  <c r="D37" i="267"/>
  <c r="D25" i="178"/>
  <c r="C37" i="267"/>
  <c r="E13" i="178"/>
  <c r="D13" i="178"/>
  <c r="C36" i="267"/>
  <c r="C48" i="178"/>
  <c r="B40" i="267"/>
  <c r="C40" i="178"/>
  <c r="C35" i="178"/>
  <c r="B38" i="267"/>
  <c r="C25" i="178"/>
  <c r="C13" i="178"/>
  <c r="B36" i="267"/>
  <c r="J32" i="267"/>
  <c r="J31" i="267"/>
  <c r="J30" i="267"/>
  <c r="G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H24" i="267"/>
  <c r="I24" i="267"/>
  <c r="F24" i="267"/>
  <c r="E24" i="267"/>
  <c r="D24" i="267"/>
  <c r="C24" i="267"/>
  <c r="B24" i="267"/>
  <c r="K37" i="182"/>
  <c r="J6" i="267"/>
  <c r="J7" i="267"/>
  <c r="J11" i="267"/>
  <c r="J9" i="267"/>
  <c r="K23" i="182"/>
  <c r="J21" i="267"/>
  <c r="J22" i="267"/>
  <c r="G22" i="267"/>
  <c r="F22" i="267"/>
  <c r="E22" i="267"/>
  <c r="D22" i="267"/>
  <c r="C22" i="267"/>
  <c r="G21" i="267"/>
  <c r="H21" i="267"/>
  <c r="I21" i="267"/>
  <c r="F21" i="267"/>
  <c r="E21" i="267"/>
  <c r="D21" i="267"/>
  <c r="C21" i="267"/>
  <c r="B22" i="267"/>
  <c r="B21" i="267"/>
  <c r="H37" i="182"/>
  <c r="G37" i="182"/>
  <c r="F37" i="182"/>
  <c r="E18" i="267"/>
  <c r="E19" i="267"/>
  <c r="E37" i="182"/>
  <c r="F45" i="174"/>
  <c r="D37" i="182"/>
  <c r="C37" i="182"/>
  <c r="F6" i="267"/>
  <c r="F7" i="267"/>
  <c r="F9" i="267"/>
  <c r="G23" i="182"/>
  <c r="G55" i="174"/>
  <c r="G6" i="267"/>
  <c r="H6" i="267"/>
  <c r="I6" i="267"/>
  <c r="G7" i="267"/>
  <c r="G9" i="267"/>
  <c r="H9" i="267"/>
  <c r="I9" i="267"/>
  <c r="H23" i="182"/>
  <c r="H54" i="182"/>
  <c r="H13" i="267"/>
  <c r="I13" i="267"/>
  <c r="I6" i="182"/>
  <c r="J6" i="182"/>
  <c r="I7" i="182"/>
  <c r="J7" i="182"/>
  <c r="I8" i="182"/>
  <c r="J8" i="182"/>
  <c r="I9" i="182"/>
  <c r="J9" i="182"/>
  <c r="I10" i="182"/>
  <c r="J10" i="182"/>
  <c r="I11" i="182"/>
  <c r="J11" i="182"/>
  <c r="I12" i="182"/>
  <c r="J12" i="182"/>
  <c r="I14" i="182"/>
  <c r="J14" i="182"/>
  <c r="I15" i="182"/>
  <c r="J15" i="182"/>
  <c r="I20" i="182"/>
  <c r="J20" i="182"/>
  <c r="E6" i="267"/>
  <c r="E7" i="267"/>
  <c r="E9" i="267"/>
  <c r="F23" i="182"/>
  <c r="F54" i="182"/>
  <c r="D6" i="267"/>
  <c r="D7" i="267"/>
  <c r="D9" i="267"/>
  <c r="E23" i="182"/>
  <c r="C6" i="267"/>
  <c r="C7" i="267"/>
  <c r="C9" i="267"/>
  <c r="D23" i="182"/>
  <c r="D54" i="182"/>
  <c r="B6" i="267"/>
  <c r="B7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/>
  <c r="D15" i="173"/>
  <c r="C52" i="267"/>
  <c r="E15" i="173"/>
  <c r="D52" i="267"/>
  <c r="F15" i="173"/>
  <c r="E52" i="267"/>
  <c r="G15" i="173"/>
  <c r="F52" i="267"/>
  <c r="H15" i="173"/>
  <c r="G52" i="267"/>
  <c r="I15" i="173"/>
  <c r="H52" i="267"/>
  <c r="J15" i="173"/>
  <c r="I52" i="267"/>
  <c r="K6" i="173"/>
  <c r="B104" i="172"/>
  <c r="K7" i="173"/>
  <c r="C104" i="172"/>
  <c r="K8" i="173"/>
  <c r="D104" i="172"/>
  <c r="K9" i="173"/>
  <c r="E104" i="172"/>
  <c r="K10" i="173"/>
  <c r="F104" i="172"/>
  <c r="K11" i="173"/>
  <c r="G104" i="172"/>
  <c r="K12" i="173"/>
  <c r="H104" i="172"/>
  <c r="K13" i="173"/>
  <c r="I104" i="172"/>
  <c r="K14" i="173"/>
  <c r="J104" i="172"/>
  <c r="B44" i="267"/>
  <c r="C44" i="267"/>
  <c r="E44" i="267"/>
  <c r="J44" i="267"/>
  <c r="C45" i="267"/>
  <c r="E45" i="267"/>
  <c r="C14" i="175"/>
  <c r="B50" i="267"/>
  <c r="D14" i="175"/>
  <c r="C50" i="267"/>
  <c r="E14" i="175"/>
  <c r="D50" i="267"/>
  <c r="F14" i="175"/>
  <c r="E50" i="267"/>
  <c r="G14" i="175"/>
  <c r="F50" i="267"/>
  <c r="H14" i="175"/>
  <c r="G50" i="267"/>
  <c r="I14" i="175"/>
  <c r="H50" i="267"/>
  <c r="J14" i="175"/>
  <c r="I50" i="267"/>
  <c r="K40" i="177"/>
  <c r="G29" i="267"/>
  <c r="E29" i="267"/>
  <c r="J29" i="267"/>
  <c r="C6" i="323"/>
  <c r="C6" i="272"/>
  <c r="C17" i="323"/>
  <c r="C7" i="272"/>
  <c r="C28" i="323"/>
  <c r="C39" i="323"/>
  <c r="C9" i="272"/>
  <c r="C50" i="323"/>
  <c r="C10" i="272"/>
  <c r="C61" i="323"/>
  <c r="C72" i="323"/>
  <c r="C83" i="323"/>
  <c r="C13" i="272"/>
  <c r="C94" i="323"/>
  <c r="C14" i="272"/>
  <c r="C105" i="323"/>
  <c r="C15" i="272"/>
  <c r="H6" i="323"/>
  <c r="H6" i="272"/>
  <c r="I6" i="272"/>
  <c r="J6" i="272"/>
  <c r="H17" i="323"/>
  <c r="H28" i="323"/>
  <c r="H8" i="272"/>
  <c r="H39" i="323"/>
  <c r="H9" i="272"/>
  <c r="H50" i="323"/>
  <c r="H61" i="323"/>
  <c r="H11" i="272"/>
  <c r="H72" i="323"/>
  <c r="H12" i="272"/>
  <c r="H83" i="323"/>
  <c r="H13" i="272"/>
  <c r="H94" i="323"/>
  <c r="G6" i="323"/>
  <c r="G17" i="323"/>
  <c r="G7" i="272"/>
  <c r="G28" i="323"/>
  <c r="G8" i="272"/>
  <c r="G39" i="323"/>
  <c r="G9" i="272"/>
  <c r="I9" i="272"/>
  <c r="J9" i="272"/>
  <c r="G50" i="323"/>
  <c r="G10" i="272"/>
  <c r="G61" i="323"/>
  <c r="G72" i="323"/>
  <c r="G83" i="323"/>
  <c r="G13" i="272"/>
  <c r="G94" i="323"/>
  <c r="D6" i="323"/>
  <c r="D6" i="272"/>
  <c r="D17" i="323"/>
  <c r="D28" i="323"/>
  <c r="D39" i="323"/>
  <c r="D9" i="272"/>
  <c r="D50" i="323"/>
  <c r="D10" i="272"/>
  <c r="D61" i="323"/>
  <c r="D11" i="272"/>
  <c r="D72" i="323"/>
  <c r="D83" i="323"/>
  <c r="D13" i="272"/>
  <c r="D94" i="323"/>
  <c r="D14" i="272"/>
  <c r="E6" i="323"/>
  <c r="E17" i="323"/>
  <c r="E28" i="323"/>
  <c r="E8" i="272"/>
  <c r="E39" i="323"/>
  <c r="E9" i="272"/>
  <c r="E50" i="323"/>
  <c r="E10" i="272"/>
  <c r="E61" i="323"/>
  <c r="E11" i="272"/>
  <c r="E72" i="323"/>
  <c r="E12" i="272"/>
  <c r="E83" i="323"/>
  <c r="E13" i="272"/>
  <c r="E94" i="323"/>
  <c r="E14" i="272"/>
  <c r="F6" i="323"/>
  <c r="F17" i="323"/>
  <c r="F28" i="323"/>
  <c r="F8" i="272"/>
  <c r="F39" i="323"/>
  <c r="F9" i="272"/>
  <c r="F50" i="323"/>
  <c r="F10" i="272"/>
  <c r="F61" i="323"/>
  <c r="F11" i="272"/>
  <c r="F72" i="323"/>
  <c r="F12" i="272"/>
  <c r="F83" i="323"/>
  <c r="F13" i="272"/>
  <c r="F94" i="323"/>
  <c r="K6" i="323"/>
  <c r="K17" i="323"/>
  <c r="K7" i="272"/>
  <c r="K28" i="323"/>
  <c r="K8" i="272"/>
  <c r="K39" i="323"/>
  <c r="K50" i="323"/>
  <c r="K10" i="272"/>
  <c r="K61" i="323"/>
  <c r="K11" i="272"/>
  <c r="K72" i="323"/>
  <c r="K12" i="272"/>
  <c r="K83" i="323"/>
  <c r="A43" i="241"/>
  <c r="A57" i="268"/>
  <c r="A44" i="241"/>
  <c r="A58" i="268"/>
  <c r="A45" i="241"/>
  <c r="A59" i="268"/>
  <c r="A46" i="241"/>
  <c r="A60" i="268"/>
  <c r="A47" i="241"/>
  <c r="A61" i="268"/>
  <c r="A48" i="241"/>
  <c r="A62" i="268"/>
  <c r="A30" i="241"/>
  <c r="A44" i="268"/>
  <c r="A31" i="241"/>
  <c r="A45" i="268"/>
  <c r="A32" i="241"/>
  <c r="A46" i="268"/>
  <c r="A33" i="241"/>
  <c r="A47" i="268"/>
  <c r="A34" i="241"/>
  <c r="A48" i="268"/>
  <c r="A35" i="241"/>
  <c r="A49" i="268"/>
  <c r="A36" i="241"/>
  <c r="A50" i="268"/>
  <c r="A37" i="241"/>
  <c r="A38" i="241"/>
  <c r="A52" i="268"/>
  <c r="A39" i="241"/>
  <c r="A53" i="268"/>
  <c r="A40" i="241"/>
  <c r="A54" i="268"/>
  <c r="A41" i="241"/>
  <c r="A42" i="241"/>
  <c r="A56" i="268"/>
  <c r="E79" i="100"/>
  <c r="A29" i="241"/>
  <c r="A43" i="268"/>
  <c r="I12" i="241"/>
  <c r="J12" i="24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/>
  <c r="I338" i="323"/>
  <c r="J338" i="323"/>
  <c r="I337" i="323"/>
  <c r="J337" i="323"/>
  <c r="I336" i="323"/>
  <c r="J336" i="323"/>
  <c r="I335" i="323"/>
  <c r="J335" i="323"/>
  <c r="I334" i="323"/>
  <c r="J334" i="323"/>
  <c r="I333" i="323"/>
  <c r="J333" i="323"/>
  <c r="I332" i="323"/>
  <c r="J332" i="323"/>
  <c r="I331" i="323"/>
  <c r="J331" i="323"/>
  <c r="I330" i="323"/>
  <c r="J330" i="323"/>
  <c r="I329" i="323"/>
  <c r="J329" i="323"/>
  <c r="I327" i="323"/>
  <c r="J327" i="323"/>
  <c r="I326" i="323"/>
  <c r="J326" i="323"/>
  <c r="I325" i="323"/>
  <c r="J325" i="323"/>
  <c r="I324" i="323"/>
  <c r="J324" i="323"/>
  <c r="I323" i="323"/>
  <c r="J323" i="323"/>
  <c r="I322" i="323"/>
  <c r="J322" i="323"/>
  <c r="I321" i="323"/>
  <c r="J321" i="323"/>
  <c r="I320" i="323"/>
  <c r="J320" i="323"/>
  <c r="I319" i="323"/>
  <c r="J319" i="323"/>
  <c r="I318" i="323"/>
  <c r="J318" i="323"/>
  <c r="I317" i="323"/>
  <c r="J317" i="323"/>
  <c r="I316" i="323"/>
  <c r="J316" i="323"/>
  <c r="I315" i="323"/>
  <c r="J315" i="323"/>
  <c r="I314" i="323"/>
  <c r="J314" i="323"/>
  <c r="I313" i="323"/>
  <c r="J313" i="323"/>
  <c r="I312" i="323"/>
  <c r="J312" i="323"/>
  <c r="I311" i="323"/>
  <c r="J311" i="323"/>
  <c r="I310" i="323"/>
  <c r="J310" i="323"/>
  <c r="I309" i="323"/>
  <c r="J309" i="323"/>
  <c r="I308" i="323"/>
  <c r="J308" i="323"/>
  <c r="I307" i="323"/>
  <c r="J307" i="323"/>
  <c r="I305" i="323"/>
  <c r="J305" i="323"/>
  <c r="I304" i="323"/>
  <c r="J304" i="323"/>
  <c r="I303" i="323"/>
  <c r="J303" i="323"/>
  <c r="I302" i="323"/>
  <c r="J302" i="323"/>
  <c r="I301" i="323"/>
  <c r="J301" i="323"/>
  <c r="I300" i="323"/>
  <c r="J300" i="323"/>
  <c r="I299" i="323"/>
  <c r="J299" i="323"/>
  <c r="I298" i="323"/>
  <c r="J298" i="323"/>
  <c r="I297" i="323"/>
  <c r="J297" i="323"/>
  <c r="I296" i="323"/>
  <c r="J296" i="323"/>
  <c r="I295" i="323"/>
  <c r="J295" i="323"/>
  <c r="I294" i="323"/>
  <c r="J294" i="323"/>
  <c r="I293" i="323"/>
  <c r="J293" i="323"/>
  <c r="I292" i="323"/>
  <c r="J292" i="323"/>
  <c r="I291" i="323"/>
  <c r="J291" i="323"/>
  <c r="I290" i="323"/>
  <c r="J290" i="323"/>
  <c r="I289" i="323"/>
  <c r="J289" i="323"/>
  <c r="I288" i="323"/>
  <c r="J288" i="323"/>
  <c r="I287" i="323"/>
  <c r="J287" i="323"/>
  <c r="I286" i="323"/>
  <c r="J286" i="323"/>
  <c r="I285" i="323"/>
  <c r="J285" i="323"/>
  <c r="I283" i="323"/>
  <c r="J283" i="323"/>
  <c r="I282" i="323"/>
  <c r="J282" i="323"/>
  <c r="I281" i="323"/>
  <c r="J281" i="323"/>
  <c r="I280" i="323"/>
  <c r="J280" i="323"/>
  <c r="I279" i="323"/>
  <c r="J279" i="323"/>
  <c r="I278" i="323"/>
  <c r="J278" i="323"/>
  <c r="I277" i="323"/>
  <c r="J277" i="323"/>
  <c r="I276" i="323"/>
  <c r="J276" i="323"/>
  <c r="I275" i="323"/>
  <c r="J275" i="323"/>
  <c r="I274" i="323"/>
  <c r="J274" i="323"/>
  <c r="I273" i="323"/>
  <c r="J273" i="323"/>
  <c r="I272" i="323"/>
  <c r="J272" i="323"/>
  <c r="I271" i="323"/>
  <c r="J271" i="323"/>
  <c r="I270" i="323"/>
  <c r="J270" i="323"/>
  <c r="I269" i="323"/>
  <c r="J269" i="323"/>
  <c r="I268" i="323"/>
  <c r="J268" i="323"/>
  <c r="I267" i="323"/>
  <c r="J267" i="323"/>
  <c r="I266" i="323"/>
  <c r="J266" i="323"/>
  <c r="I265" i="323"/>
  <c r="J265" i="323"/>
  <c r="I264" i="323"/>
  <c r="J264" i="323"/>
  <c r="I263" i="323"/>
  <c r="J263" i="323"/>
  <c r="I261" i="323"/>
  <c r="J261" i="323"/>
  <c r="I260" i="323"/>
  <c r="J260" i="323"/>
  <c r="I259" i="323"/>
  <c r="J259" i="323"/>
  <c r="I258" i="323"/>
  <c r="J258" i="323"/>
  <c r="I257" i="323"/>
  <c r="J257" i="323"/>
  <c r="I256" i="323"/>
  <c r="J256" i="323"/>
  <c r="I255" i="323"/>
  <c r="J255" i="323"/>
  <c r="I254" i="323"/>
  <c r="J254" i="323"/>
  <c r="I253" i="323"/>
  <c r="J253" i="323"/>
  <c r="I252" i="323"/>
  <c r="J252" i="323"/>
  <c r="I251" i="323"/>
  <c r="J251" i="323"/>
  <c r="I250" i="323"/>
  <c r="J250" i="323"/>
  <c r="I249" i="323"/>
  <c r="J249" i="323"/>
  <c r="I248" i="323"/>
  <c r="J248" i="323"/>
  <c r="I247" i="323"/>
  <c r="J247" i="323"/>
  <c r="I246" i="323"/>
  <c r="J246" i="323"/>
  <c r="I245" i="323"/>
  <c r="J245" i="323"/>
  <c r="I244" i="323"/>
  <c r="J244" i="323"/>
  <c r="I243" i="323"/>
  <c r="J243" i="323"/>
  <c r="I242" i="323"/>
  <c r="J242" i="323"/>
  <c r="I241" i="323"/>
  <c r="J241" i="323"/>
  <c r="I239" i="323"/>
  <c r="J239" i="323"/>
  <c r="I238" i="323"/>
  <c r="J238" i="323"/>
  <c r="I237" i="323"/>
  <c r="J237" i="323"/>
  <c r="I236" i="323"/>
  <c r="J236" i="323"/>
  <c r="I235" i="323"/>
  <c r="J235" i="323"/>
  <c r="I234" i="323"/>
  <c r="J234" i="323"/>
  <c r="I233" i="323"/>
  <c r="J233" i="323"/>
  <c r="I232" i="323"/>
  <c r="J232" i="323"/>
  <c r="I231" i="323"/>
  <c r="J231" i="323"/>
  <c r="I230" i="323"/>
  <c r="J230" i="323"/>
  <c r="I229" i="323"/>
  <c r="J229" i="323"/>
  <c r="I228" i="323"/>
  <c r="J228" i="323"/>
  <c r="I227" i="323"/>
  <c r="J227" i="323"/>
  <c r="I226" i="323"/>
  <c r="J226" i="323"/>
  <c r="I225" i="323"/>
  <c r="J225" i="323"/>
  <c r="I224" i="323"/>
  <c r="J224" i="323"/>
  <c r="I223" i="323"/>
  <c r="J223" i="323"/>
  <c r="I222" i="323"/>
  <c r="J222" i="323"/>
  <c r="I221" i="323"/>
  <c r="J221" i="323"/>
  <c r="I220" i="323"/>
  <c r="J220" i="323"/>
  <c r="I219" i="323"/>
  <c r="J219" i="323"/>
  <c r="I217" i="323"/>
  <c r="J217" i="323"/>
  <c r="I216" i="323"/>
  <c r="J216" i="323"/>
  <c r="I215" i="323"/>
  <c r="J215" i="323"/>
  <c r="I214" i="323"/>
  <c r="J214" i="323"/>
  <c r="I213" i="323"/>
  <c r="J213" i="323"/>
  <c r="I212" i="323"/>
  <c r="J212" i="323"/>
  <c r="I211" i="323"/>
  <c r="J211" i="323"/>
  <c r="I210" i="323"/>
  <c r="J210" i="323"/>
  <c r="I209" i="323"/>
  <c r="J209" i="323"/>
  <c r="I208" i="323"/>
  <c r="J208" i="323"/>
  <c r="I206" i="323"/>
  <c r="J206" i="323"/>
  <c r="I205" i="323"/>
  <c r="J205" i="323"/>
  <c r="I204" i="323"/>
  <c r="J204" i="323"/>
  <c r="I203" i="323"/>
  <c r="J203" i="323"/>
  <c r="I202" i="323"/>
  <c r="J202" i="323"/>
  <c r="I201" i="323"/>
  <c r="J201" i="323"/>
  <c r="I200" i="323"/>
  <c r="J200" i="323"/>
  <c r="I199" i="323"/>
  <c r="J199" i="323"/>
  <c r="I198" i="323"/>
  <c r="J198" i="323"/>
  <c r="I197" i="323"/>
  <c r="J197" i="323"/>
  <c r="I195" i="323"/>
  <c r="J195" i="323"/>
  <c r="I194" i="323"/>
  <c r="J194" i="323"/>
  <c r="I193" i="323"/>
  <c r="J193" i="323"/>
  <c r="I192" i="323"/>
  <c r="J192" i="323"/>
  <c r="I191" i="323"/>
  <c r="J191" i="323"/>
  <c r="I190" i="323"/>
  <c r="J190" i="323"/>
  <c r="I189" i="323"/>
  <c r="J189" i="323"/>
  <c r="I188" i="323"/>
  <c r="J188" i="323"/>
  <c r="I187" i="323"/>
  <c r="J187" i="323"/>
  <c r="I186" i="323"/>
  <c r="J186" i="323"/>
  <c r="I184" i="323"/>
  <c r="J184" i="323"/>
  <c r="I183" i="323"/>
  <c r="J183" i="323"/>
  <c r="I182" i="323"/>
  <c r="J182" i="323"/>
  <c r="I181" i="323"/>
  <c r="J181" i="323"/>
  <c r="I180" i="323"/>
  <c r="J180" i="323"/>
  <c r="I179" i="323"/>
  <c r="J179" i="323"/>
  <c r="I178" i="323"/>
  <c r="J178" i="323"/>
  <c r="I177" i="323"/>
  <c r="J177" i="323"/>
  <c r="I176" i="323"/>
  <c r="J176" i="323"/>
  <c r="I175" i="323"/>
  <c r="J175" i="323"/>
  <c r="I173" i="323"/>
  <c r="J173" i="323"/>
  <c r="I172" i="323"/>
  <c r="J172" i="323"/>
  <c r="I170" i="323"/>
  <c r="J170" i="323"/>
  <c r="I169" i="323"/>
  <c r="J169" i="323"/>
  <c r="I168" i="323"/>
  <c r="J168" i="323"/>
  <c r="I167" i="323"/>
  <c r="J167" i="323"/>
  <c r="I166" i="323"/>
  <c r="J166" i="323"/>
  <c r="I165" i="323"/>
  <c r="J165" i="323"/>
  <c r="I164" i="323"/>
  <c r="J164" i="323"/>
  <c r="I163" i="323"/>
  <c r="J163" i="323"/>
  <c r="I162" i="323"/>
  <c r="J162" i="323"/>
  <c r="I161" i="323"/>
  <c r="J161" i="323"/>
  <c r="I159" i="323"/>
  <c r="J159" i="323"/>
  <c r="I158" i="323"/>
  <c r="J158" i="323"/>
  <c r="I157" i="323"/>
  <c r="J157" i="323"/>
  <c r="I156" i="323"/>
  <c r="J156" i="323"/>
  <c r="I155" i="323"/>
  <c r="J155" i="323"/>
  <c r="I154" i="323"/>
  <c r="J154" i="323"/>
  <c r="I153" i="323"/>
  <c r="J153" i="323"/>
  <c r="I152" i="323"/>
  <c r="J152" i="323"/>
  <c r="I151" i="323"/>
  <c r="J151" i="323"/>
  <c r="I150" i="323"/>
  <c r="J150" i="323"/>
  <c r="I148" i="323"/>
  <c r="J148" i="323"/>
  <c r="I147" i="323"/>
  <c r="J147" i="323"/>
  <c r="I146" i="323"/>
  <c r="J146" i="323"/>
  <c r="I145" i="323"/>
  <c r="J145" i="323"/>
  <c r="I144" i="323"/>
  <c r="J144" i="323"/>
  <c r="I143" i="323"/>
  <c r="J143" i="323"/>
  <c r="I142" i="323"/>
  <c r="J142" i="323"/>
  <c r="I141" i="323"/>
  <c r="J141" i="323"/>
  <c r="I140" i="323"/>
  <c r="J140" i="323"/>
  <c r="I139" i="323"/>
  <c r="J139" i="323"/>
  <c r="I138" i="323"/>
  <c r="J138" i="323"/>
  <c r="I137" i="323"/>
  <c r="J137" i="323"/>
  <c r="I136" i="323"/>
  <c r="J136" i="323"/>
  <c r="I135" i="323"/>
  <c r="J135" i="323"/>
  <c r="I134" i="323"/>
  <c r="J134" i="323"/>
  <c r="I133" i="323"/>
  <c r="J133" i="323"/>
  <c r="I132" i="323"/>
  <c r="J132" i="323"/>
  <c r="I131" i="323"/>
  <c r="J131" i="323"/>
  <c r="I130" i="323"/>
  <c r="J130" i="323"/>
  <c r="I129" i="323"/>
  <c r="J129" i="323"/>
  <c r="I128" i="323"/>
  <c r="J128" i="323"/>
  <c r="I126" i="323"/>
  <c r="J126" i="323"/>
  <c r="I125" i="323"/>
  <c r="J125" i="323"/>
  <c r="I124" i="323"/>
  <c r="J124" i="323"/>
  <c r="I123" i="323"/>
  <c r="J123" i="323"/>
  <c r="I122" i="323"/>
  <c r="J122" i="323"/>
  <c r="I121" i="323"/>
  <c r="J121" i="323"/>
  <c r="I120" i="323"/>
  <c r="J120" i="323"/>
  <c r="I119" i="323"/>
  <c r="J119" i="323"/>
  <c r="I118" i="323"/>
  <c r="J118" i="323"/>
  <c r="I117" i="323"/>
  <c r="J117" i="323"/>
  <c r="I115" i="323"/>
  <c r="J115" i="323"/>
  <c r="I114" i="323"/>
  <c r="J114" i="323"/>
  <c r="I113" i="323"/>
  <c r="J113" i="323"/>
  <c r="I112" i="323"/>
  <c r="J112" i="323"/>
  <c r="I111" i="323"/>
  <c r="J111" i="323"/>
  <c r="I110" i="323"/>
  <c r="J110" i="323"/>
  <c r="I109" i="323"/>
  <c r="J109" i="323"/>
  <c r="I108" i="323"/>
  <c r="J108" i="323"/>
  <c r="I107" i="323"/>
  <c r="J107" i="323"/>
  <c r="I106" i="323"/>
  <c r="J106" i="323"/>
  <c r="I104" i="323"/>
  <c r="J104" i="323"/>
  <c r="I103" i="323"/>
  <c r="J103" i="323"/>
  <c r="I102" i="323"/>
  <c r="J102" i="323"/>
  <c r="I101" i="323"/>
  <c r="J101" i="323"/>
  <c r="I100" i="323"/>
  <c r="J100" i="323"/>
  <c r="I99" i="323"/>
  <c r="J99" i="323"/>
  <c r="I98" i="323"/>
  <c r="J98" i="323"/>
  <c r="I97" i="323"/>
  <c r="J97" i="323"/>
  <c r="I96" i="323"/>
  <c r="J96" i="323"/>
  <c r="I95" i="323"/>
  <c r="J95" i="323"/>
  <c r="I93" i="323"/>
  <c r="J93" i="323"/>
  <c r="I92" i="323"/>
  <c r="J92" i="323"/>
  <c r="I91" i="323"/>
  <c r="J91" i="323"/>
  <c r="I90" i="323"/>
  <c r="J90" i="323"/>
  <c r="I89" i="323"/>
  <c r="J89" i="323"/>
  <c r="I88" i="323"/>
  <c r="J88" i="323"/>
  <c r="I87" i="323"/>
  <c r="J87" i="323"/>
  <c r="I86" i="323"/>
  <c r="J86" i="323"/>
  <c r="I85" i="323"/>
  <c r="J85" i="323"/>
  <c r="I84" i="323"/>
  <c r="J84" i="323"/>
  <c r="I82" i="323"/>
  <c r="J82" i="323"/>
  <c r="I81" i="323"/>
  <c r="J81" i="323"/>
  <c r="I80" i="323"/>
  <c r="J80" i="323"/>
  <c r="I79" i="323"/>
  <c r="J79" i="323"/>
  <c r="I78" i="323"/>
  <c r="J78" i="323"/>
  <c r="I77" i="323"/>
  <c r="J77" i="323"/>
  <c r="I76" i="323"/>
  <c r="J76" i="323"/>
  <c r="I75" i="323"/>
  <c r="J75" i="323"/>
  <c r="I74" i="323"/>
  <c r="J74" i="323"/>
  <c r="I73" i="323"/>
  <c r="J73" i="323"/>
  <c r="I71" i="323"/>
  <c r="J71" i="323"/>
  <c r="I70" i="323"/>
  <c r="J70" i="323"/>
  <c r="I69" i="323"/>
  <c r="J69" i="323"/>
  <c r="I68" i="323"/>
  <c r="J68" i="323"/>
  <c r="I67" i="323"/>
  <c r="J67" i="323"/>
  <c r="I66" i="323"/>
  <c r="J66" i="323"/>
  <c r="I65" i="323"/>
  <c r="J65" i="323"/>
  <c r="I64" i="323"/>
  <c r="J64" i="323"/>
  <c r="I63" i="323"/>
  <c r="J63" i="323"/>
  <c r="I62" i="323"/>
  <c r="J62" i="323"/>
  <c r="I60" i="323"/>
  <c r="J60" i="323"/>
  <c r="I59" i="323"/>
  <c r="J59" i="323"/>
  <c r="I58" i="323"/>
  <c r="J58" i="323"/>
  <c r="I57" i="323"/>
  <c r="J57" i="323"/>
  <c r="I56" i="323"/>
  <c r="J56" i="323"/>
  <c r="I55" i="323"/>
  <c r="J55" i="323"/>
  <c r="I54" i="323"/>
  <c r="J54" i="323"/>
  <c r="I53" i="323"/>
  <c r="J53" i="323"/>
  <c r="I52" i="323"/>
  <c r="J52" i="323"/>
  <c r="I51" i="323"/>
  <c r="J51" i="323"/>
  <c r="I49" i="323"/>
  <c r="J49" i="323"/>
  <c r="I48" i="323"/>
  <c r="J48" i="323"/>
  <c r="I47" i="323"/>
  <c r="J47" i="323"/>
  <c r="I46" i="323"/>
  <c r="J46" i="323"/>
  <c r="I45" i="323"/>
  <c r="J45" i="323"/>
  <c r="I44" i="323"/>
  <c r="J44" i="323"/>
  <c r="I43" i="323"/>
  <c r="J43" i="323"/>
  <c r="I42" i="323"/>
  <c r="J42" i="323"/>
  <c r="I41" i="323"/>
  <c r="J41" i="323"/>
  <c r="I40" i="323"/>
  <c r="J40" i="323"/>
  <c r="I38" i="323"/>
  <c r="J38" i="323"/>
  <c r="I37" i="323"/>
  <c r="J37" i="323"/>
  <c r="I36" i="323"/>
  <c r="J36" i="323"/>
  <c r="I35" i="323"/>
  <c r="J35" i="323"/>
  <c r="I34" i="323"/>
  <c r="J34" i="323"/>
  <c r="I33" i="323"/>
  <c r="J33" i="323"/>
  <c r="I32" i="323"/>
  <c r="J32" i="323"/>
  <c r="I31" i="323"/>
  <c r="J31" i="323"/>
  <c r="I30" i="323"/>
  <c r="J30" i="323"/>
  <c r="I29" i="323"/>
  <c r="J29" i="323"/>
  <c r="I27" i="323"/>
  <c r="J27" i="323"/>
  <c r="I26" i="323"/>
  <c r="J26" i="323"/>
  <c r="I25" i="323"/>
  <c r="J25" i="323"/>
  <c r="I24" i="323"/>
  <c r="J24" i="323"/>
  <c r="I23" i="323"/>
  <c r="J23" i="323"/>
  <c r="I22" i="323"/>
  <c r="J22" i="323"/>
  <c r="I21" i="323"/>
  <c r="J21" i="323"/>
  <c r="I20" i="323"/>
  <c r="J20" i="323"/>
  <c r="I19" i="323"/>
  <c r="J19" i="323"/>
  <c r="I16" i="323"/>
  <c r="J16" i="323"/>
  <c r="I15" i="323"/>
  <c r="J15" i="323"/>
  <c r="I14" i="323"/>
  <c r="J14" i="323"/>
  <c r="I13" i="323"/>
  <c r="J13" i="323"/>
  <c r="I12" i="323"/>
  <c r="J12" i="323"/>
  <c r="I11" i="323"/>
  <c r="J11" i="323"/>
  <c r="I10" i="323"/>
  <c r="J10" i="323"/>
  <c r="I9" i="323"/>
  <c r="J9" i="323"/>
  <c r="I8" i="323"/>
  <c r="J8" i="323"/>
  <c r="I7" i="323"/>
  <c r="J7" i="323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V170" i="323"/>
  <c r="V338" i="323"/>
  <c r="U170" i="323"/>
  <c r="U338" i="323"/>
  <c r="T170" i="323"/>
  <c r="T338" i="323"/>
  <c r="T340" i="323"/>
  <c r="S170" i="323"/>
  <c r="S338" i="323"/>
  <c r="R170" i="323"/>
  <c r="R338" i="323"/>
  <c r="Q170" i="323"/>
  <c r="Q338" i="323"/>
  <c r="P170" i="323"/>
  <c r="P338" i="323"/>
  <c r="O170" i="323"/>
  <c r="O338" i="323"/>
  <c r="N170" i="323"/>
  <c r="N338" i="323"/>
  <c r="M170" i="323"/>
  <c r="M338" i="323"/>
  <c r="L170" i="323"/>
  <c r="L338" i="323"/>
  <c r="L340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/>
  <c r="K9" i="272"/>
  <c r="K13" i="272"/>
  <c r="G11" i="272"/>
  <c r="G12" i="272"/>
  <c r="H14" i="272"/>
  <c r="F6" i="272"/>
  <c r="F14" i="272"/>
  <c r="E7" i="272"/>
  <c r="D8" i="272"/>
  <c r="D12" i="272"/>
  <c r="G25" i="272"/>
  <c r="G26" i="272"/>
  <c r="G28" i="272"/>
  <c r="G29" i="272"/>
  <c r="H29" i="272"/>
  <c r="G30" i="272"/>
  <c r="G31" i="272"/>
  <c r="H31" i="272"/>
  <c r="H32" i="272"/>
  <c r="K24" i="272"/>
  <c r="K25" i="272"/>
  <c r="K26" i="272"/>
  <c r="K27" i="272"/>
  <c r="K28" i="272"/>
  <c r="K29" i="272"/>
  <c r="K30" i="272"/>
  <c r="K31" i="272"/>
  <c r="K32" i="272"/>
  <c r="F24" i="272"/>
  <c r="F29" i="272"/>
  <c r="F31" i="272"/>
  <c r="F32" i="272"/>
  <c r="E24" i="272"/>
  <c r="E25" i="272"/>
  <c r="E26" i="272"/>
  <c r="E29" i="272"/>
  <c r="E30" i="272"/>
  <c r="E31" i="272"/>
  <c r="D24" i="272"/>
  <c r="D25" i="272"/>
  <c r="D27" i="272"/>
  <c r="D28" i="272"/>
  <c r="D29" i="272"/>
  <c r="D31" i="272"/>
  <c r="D32" i="272"/>
  <c r="C31" i="272"/>
  <c r="C30" i="272"/>
  <c r="C29" i="272"/>
  <c r="C27" i="272"/>
  <c r="C26" i="272"/>
  <c r="C25" i="272"/>
  <c r="C12" i="272"/>
  <c r="C8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/>
  <c r="K45" i="182"/>
  <c r="K47" i="182"/>
  <c r="K49" i="182"/>
  <c r="E80" i="100"/>
  <c r="K54" i="182"/>
  <c r="A54" i="182"/>
  <c r="I44" i="182"/>
  <c r="J44" i="182"/>
  <c r="I36" i="182"/>
  <c r="J36" i="182"/>
  <c r="I35" i="182"/>
  <c r="J35" i="182"/>
  <c r="I33" i="182"/>
  <c r="J33" i="182"/>
  <c r="I32" i="182"/>
  <c r="J32" i="182"/>
  <c r="I31" i="182"/>
  <c r="J31" i="182"/>
  <c r="I30" i="182"/>
  <c r="J30" i="182"/>
  <c r="I29" i="182"/>
  <c r="J29" i="182"/>
  <c r="I28" i="182"/>
  <c r="J28" i="182"/>
  <c r="I27" i="182"/>
  <c r="J27" i="182"/>
  <c r="I26" i="182"/>
  <c r="J26" i="182"/>
  <c r="I22" i="182"/>
  <c r="J22" i="182"/>
  <c r="I21" i="182"/>
  <c r="J21" i="182"/>
  <c r="I19" i="182"/>
  <c r="J19" i="182"/>
  <c r="I18" i="182"/>
  <c r="J18" i="182"/>
  <c r="I17" i="182"/>
  <c r="J17" i="182"/>
  <c r="I16" i="182"/>
  <c r="J16" i="182"/>
  <c r="I13" i="182"/>
  <c r="J13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2" i="324"/>
  <c r="Q340" i="324"/>
  <c r="P171" i="324"/>
  <c r="P340" i="324"/>
  <c r="O171" i="324"/>
  <c r="O340" i="324"/>
  <c r="N171" i="324"/>
  <c r="N340" i="324"/>
  <c r="M171" i="324"/>
  <c r="M342" i="324"/>
  <c r="M340" i="324"/>
  <c r="L171" i="324"/>
  <c r="L340" i="324"/>
  <c r="I342" i="324"/>
  <c r="J342" i="324"/>
  <c r="I340" i="324"/>
  <c r="J340" i="324"/>
  <c r="I339" i="324"/>
  <c r="J339" i="324"/>
  <c r="I338" i="324"/>
  <c r="J338" i="324"/>
  <c r="I337" i="324"/>
  <c r="J337" i="324"/>
  <c r="I336" i="324"/>
  <c r="J336" i="324"/>
  <c r="I335" i="324"/>
  <c r="J335" i="324"/>
  <c r="I334" i="324"/>
  <c r="J334" i="324"/>
  <c r="I333" i="324"/>
  <c r="J333" i="324"/>
  <c r="I332" i="324"/>
  <c r="J332" i="324"/>
  <c r="I331" i="324"/>
  <c r="J331" i="324"/>
  <c r="I329" i="324"/>
  <c r="J329" i="324"/>
  <c r="I328" i="324"/>
  <c r="J328" i="324"/>
  <c r="I327" i="324"/>
  <c r="J327" i="324"/>
  <c r="I326" i="324"/>
  <c r="J326" i="324"/>
  <c r="I325" i="324"/>
  <c r="J325" i="324"/>
  <c r="I324" i="324"/>
  <c r="J324" i="324"/>
  <c r="I323" i="324"/>
  <c r="J323" i="324"/>
  <c r="I322" i="324"/>
  <c r="J322" i="324"/>
  <c r="I321" i="324"/>
  <c r="J321" i="324"/>
  <c r="I320" i="324"/>
  <c r="J320" i="324"/>
  <c r="I318" i="324"/>
  <c r="J318" i="324"/>
  <c r="I317" i="324"/>
  <c r="J317" i="324"/>
  <c r="I316" i="324"/>
  <c r="J316" i="324"/>
  <c r="I315" i="324"/>
  <c r="J315" i="324"/>
  <c r="I314" i="324"/>
  <c r="J314" i="324"/>
  <c r="I313" i="324"/>
  <c r="J313" i="324"/>
  <c r="I312" i="324"/>
  <c r="J312" i="324"/>
  <c r="I311" i="324"/>
  <c r="J311" i="324"/>
  <c r="I310" i="324"/>
  <c r="J310" i="324"/>
  <c r="I309" i="324"/>
  <c r="J309" i="324"/>
  <c r="I307" i="324"/>
  <c r="J307" i="324"/>
  <c r="I306" i="324"/>
  <c r="J306" i="324"/>
  <c r="I305" i="324"/>
  <c r="J305" i="324"/>
  <c r="I304" i="324"/>
  <c r="J304" i="324"/>
  <c r="I303" i="324"/>
  <c r="J303" i="324"/>
  <c r="I302" i="324"/>
  <c r="J302" i="324"/>
  <c r="I301" i="324"/>
  <c r="J301" i="324"/>
  <c r="I300" i="324"/>
  <c r="J300" i="324"/>
  <c r="I299" i="324"/>
  <c r="J299" i="324"/>
  <c r="I298" i="324"/>
  <c r="J298" i="324"/>
  <c r="I296" i="324"/>
  <c r="J296" i="324"/>
  <c r="I295" i="324"/>
  <c r="J295" i="324"/>
  <c r="I294" i="324"/>
  <c r="J294" i="324"/>
  <c r="I293" i="324"/>
  <c r="J293" i="324"/>
  <c r="I292" i="324"/>
  <c r="J292" i="324"/>
  <c r="I291" i="324"/>
  <c r="J291" i="324"/>
  <c r="I290" i="324"/>
  <c r="J290" i="324"/>
  <c r="I289" i="324"/>
  <c r="J289" i="324"/>
  <c r="I288" i="324"/>
  <c r="J288" i="324"/>
  <c r="I287" i="324"/>
  <c r="J287" i="324"/>
  <c r="I285" i="324"/>
  <c r="J285" i="324"/>
  <c r="I284" i="324"/>
  <c r="J284" i="324"/>
  <c r="I283" i="324"/>
  <c r="J283" i="324"/>
  <c r="I282" i="324"/>
  <c r="J282" i="324"/>
  <c r="I281" i="324"/>
  <c r="J281" i="324"/>
  <c r="I280" i="324"/>
  <c r="J280" i="324"/>
  <c r="I279" i="324"/>
  <c r="J279" i="324"/>
  <c r="I278" i="324"/>
  <c r="J278" i="324"/>
  <c r="I277" i="324"/>
  <c r="J277" i="324"/>
  <c r="I276" i="324"/>
  <c r="J276" i="324"/>
  <c r="I274" i="324"/>
  <c r="J274" i="324"/>
  <c r="I273" i="324"/>
  <c r="J273" i="324"/>
  <c r="I272" i="324"/>
  <c r="J272" i="324"/>
  <c r="I271" i="324"/>
  <c r="J271" i="324"/>
  <c r="I270" i="324"/>
  <c r="J270" i="324"/>
  <c r="I269" i="324"/>
  <c r="J269" i="324"/>
  <c r="I268" i="324"/>
  <c r="J268" i="324"/>
  <c r="I267" i="324"/>
  <c r="J267" i="324"/>
  <c r="I266" i="324"/>
  <c r="J266" i="324"/>
  <c r="I265" i="324"/>
  <c r="J265" i="324"/>
  <c r="I263" i="324"/>
  <c r="J263" i="324"/>
  <c r="I262" i="324"/>
  <c r="J262" i="324"/>
  <c r="I261" i="324"/>
  <c r="J261" i="324"/>
  <c r="I260" i="324"/>
  <c r="J260" i="324"/>
  <c r="I259" i="324"/>
  <c r="J259" i="324"/>
  <c r="I258" i="324"/>
  <c r="J258" i="324"/>
  <c r="I257" i="324"/>
  <c r="J257" i="324"/>
  <c r="I256" i="324"/>
  <c r="J256" i="324"/>
  <c r="I255" i="324"/>
  <c r="J255" i="324"/>
  <c r="I254" i="324"/>
  <c r="J254" i="324"/>
  <c r="I252" i="324"/>
  <c r="J252" i="324"/>
  <c r="I251" i="324"/>
  <c r="J251" i="324"/>
  <c r="I250" i="324"/>
  <c r="J250" i="324"/>
  <c r="I249" i="324"/>
  <c r="J249" i="324"/>
  <c r="I248" i="324"/>
  <c r="J248" i="324"/>
  <c r="I247" i="324"/>
  <c r="J247" i="324"/>
  <c r="I246" i="324"/>
  <c r="J246" i="324"/>
  <c r="I245" i="324"/>
  <c r="J245" i="324"/>
  <c r="I244" i="324"/>
  <c r="J244" i="324"/>
  <c r="I243" i="324"/>
  <c r="J243" i="324"/>
  <c r="I241" i="324"/>
  <c r="J241" i="324"/>
  <c r="I240" i="324"/>
  <c r="J240" i="324"/>
  <c r="I239" i="324"/>
  <c r="J239" i="324"/>
  <c r="I238" i="324"/>
  <c r="J238" i="324"/>
  <c r="I237" i="324"/>
  <c r="J237" i="324"/>
  <c r="I236" i="324"/>
  <c r="J236" i="324"/>
  <c r="I235" i="324"/>
  <c r="J235" i="324"/>
  <c r="I234" i="324"/>
  <c r="J234" i="324"/>
  <c r="I233" i="324"/>
  <c r="J233" i="324"/>
  <c r="I232" i="324"/>
  <c r="J232" i="324"/>
  <c r="I230" i="324"/>
  <c r="J230" i="324"/>
  <c r="I229" i="324"/>
  <c r="J229" i="324"/>
  <c r="I228" i="324"/>
  <c r="J228" i="324"/>
  <c r="I227" i="324"/>
  <c r="J227" i="324"/>
  <c r="I226" i="324"/>
  <c r="J226" i="324"/>
  <c r="I225" i="324"/>
  <c r="J225" i="324"/>
  <c r="I224" i="324"/>
  <c r="J224" i="324"/>
  <c r="I223" i="324"/>
  <c r="J223" i="324"/>
  <c r="I222" i="324"/>
  <c r="J222" i="324"/>
  <c r="I221" i="324"/>
  <c r="J221" i="324"/>
  <c r="I219" i="324"/>
  <c r="J219" i="324"/>
  <c r="I218" i="324"/>
  <c r="J218" i="324"/>
  <c r="I217" i="324"/>
  <c r="J217" i="324"/>
  <c r="I216" i="324"/>
  <c r="J216" i="324"/>
  <c r="I215" i="324"/>
  <c r="J215" i="324"/>
  <c r="I214" i="324"/>
  <c r="J214" i="324"/>
  <c r="I212" i="324"/>
  <c r="J212" i="324"/>
  <c r="I211" i="324"/>
  <c r="J211" i="324"/>
  <c r="I210" i="324"/>
  <c r="J210" i="324"/>
  <c r="I208" i="324"/>
  <c r="J208" i="324"/>
  <c r="I207" i="324"/>
  <c r="J207" i="324"/>
  <c r="I206" i="324"/>
  <c r="J206" i="324"/>
  <c r="I205" i="324"/>
  <c r="J205" i="324"/>
  <c r="I204" i="324"/>
  <c r="J204" i="324"/>
  <c r="I203" i="324"/>
  <c r="J203" i="324"/>
  <c r="I202" i="324"/>
  <c r="J202" i="324"/>
  <c r="I201" i="324"/>
  <c r="J201" i="324"/>
  <c r="I200" i="324"/>
  <c r="J200" i="324"/>
  <c r="I199" i="324"/>
  <c r="J199" i="324"/>
  <c r="I197" i="324"/>
  <c r="J197" i="324"/>
  <c r="I196" i="324"/>
  <c r="J196" i="324"/>
  <c r="I195" i="324"/>
  <c r="J195" i="324"/>
  <c r="I194" i="324"/>
  <c r="J194" i="324"/>
  <c r="I193" i="324"/>
  <c r="J193" i="324"/>
  <c r="I192" i="324"/>
  <c r="J192" i="324"/>
  <c r="I191" i="324"/>
  <c r="J191" i="324"/>
  <c r="I190" i="324"/>
  <c r="J190" i="324"/>
  <c r="I189" i="324"/>
  <c r="J189" i="324"/>
  <c r="I188" i="324"/>
  <c r="J188" i="324"/>
  <c r="I186" i="324"/>
  <c r="J186" i="324"/>
  <c r="I185" i="324"/>
  <c r="J185" i="324"/>
  <c r="I184" i="324"/>
  <c r="J184" i="324"/>
  <c r="I183" i="324"/>
  <c r="J183" i="324"/>
  <c r="I182" i="324"/>
  <c r="J182" i="324"/>
  <c r="I181" i="324"/>
  <c r="J181" i="324"/>
  <c r="I180" i="324"/>
  <c r="J180" i="324"/>
  <c r="I179" i="324"/>
  <c r="J179" i="324"/>
  <c r="I178" i="324"/>
  <c r="J178" i="324"/>
  <c r="I177" i="324"/>
  <c r="J177" i="324"/>
  <c r="I175" i="324"/>
  <c r="J175" i="324"/>
  <c r="I173" i="324"/>
  <c r="J173" i="324"/>
  <c r="I171" i="324"/>
  <c r="J171" i="324"/>
  <c r="I170" i="324"/>
  <c r="J170" i="324"/>
  <c r="I169" i="324"/>
  <c r="J169" i="324"/>
  <c r="I168" i="324"/>
  <c r="J168" i="324"/>
  <c r="I167" i="324"/>
  <c r="J167" i="324"/>
  <c r="I166" i="324"/>
  <c r="J166" i="324"/>
  <c r="I165" i="324"/>
  <c r="J165" i="324"/>
  <c r="I164" i="324"/>
  <c r="J164" i="324"/>
  <c r="I163" i="324"/>
  <c r="J163" i="324"/>
  <c r="I162" i="324"/>
  <c r="J162" i="324"/>
  <c r="I161" i="324"/>
  <c r="J161" i="324"/>
  <c r="I160" i="324"/>
  <c r="J160" i="324"/>
  <c r="I159" i="324"/>
  <c r="J159" i="324"/>
  <c r="I158" i="324"/>
  <c r="J158" i="324"/>
  <c r="I157" i="324"/>
  <c r="J157" i="324"/>
  <c r="I156" i="324"/>
  <c r="J156" i="324"/>
  <c r="I155" i="324"/>
  <c r="J155" i="324"/>
  <c r="I154" i="324"/>
  <c r="J154" i="324"/>
  <c r="I153" i="324"/>
  <c r="J153" i="324"/>
  <c r="I152" i="324"/>
  <c r="J152" i="324"/>
  <c r="I151" i="324"/>
  <c r="J151" i="324"/>
  <c r="I150" i="324"/>
  <c r="J150" i="324"/>
  <c r="I149" i="324"/>
  <c r="J149" i="324"/>
  <c r="I148" i="324"/>
  <c r="J148" i="324"/>
  <c r="I147" i="324"/>
  <c r="J147" i="324"/>
  <c r="I146" i="324"/>
  <c r="J146" i="324"/>
  <c r="I145" i="324"/>
  <c r="J145" i="324"/>
  <c r="I144" i="324"/>
  <c r="J144" i="324"/>
  <c r="I143" i="324"/>
  <c r="J143" i="324"/>
  <c r="I142" i="324"/>
  <c r="J142" i="324"/>
  <c r="I141" i="324"/>
  <c r="J141" i="324"/>
  <c r="I140" i="324"/>
  <c r="J140" i="324"/>
  <c r="I138" i="324"/>
  <c r="J138" i="324"/>
  <c r="I137" i="324"/>
  <c r="J137" i="324"/>
  <c r="I136" i="324"/>
  <c r="J136" i="324"/>
  <c r="I135" i="324"/>
  <c r="J135" i="324"/>
  <c r="I134" i="324"/>
  <c r="J134" i="324"/>
  <c r="I133" i="324"/>
  <c r="J133" i="324"/>
  <c r="I132" i="324"/>
  <c r="J132" i="324"/>
  <c r="I131" i="324"/>
  <c r="J131" i="324"/>
  <c r="I130" i="324"/>
  <c r="J130" i="324"/>
  <c r="I129" i="324"/>
  <c r="J129" i="324"/>
  <c r="I127" i="324"/>
  <c r="J127" i="324"/>
  <c r="I126" i="324"/>
  <c r="J126" i="324"/>
  <c r="I125" i="324"/>
  <c r="J125" i="324"/>
  <c r="I124" i="324"/>
  <c r="J124" i="324"/>
  <c r="I123" i="324"/>
  <c r="J123" i="324"/>
  <c r="I122" i="324"/>
  <c r="J122" i="324"/>
  <c r="I121" i="324"/>
  <c r="J121" i="324"/>
  <c r="I120" i="324"/>
  <c r="J120" i="324"/>
  <c r="I119" i="324"/>
  <c r="J119" i="324"/>
  <c r="I118" i="324"/>
  <c r="J118" i="324"/>
  <c r="I117" i="324"/>
  <c r="J117" i="324"/>
  <c r="I116" i="324"/>
  <c r="J116" i="324"/>
  <c r="I115" i="324"/>
  <c r="J115" i="324"/>
  <c r="I114" i="324"/>
  <c r="J114" i="324"/>
  <c r="I113" i="324"/>
  <c r="J113" i="324"/>
  <c r="I112" i="324"/>
  <c r="J112" i="324"/>
  <c r="I111" i="324"/>
  <c r="J111" i="324"/>
  <c r="I110" i="324"/>
  <c r="J110" i="324"/>
  <c r="I109" i="324"/>
  <c r="J109" i="324"/>
  <c r="I108" i="324"/>
  <c r="J108" i="324"/>
  <c r="I107" i="324"/>
  <c r="J107" i="324"/>
  <c r="I106" i="324"/>
  <c r="J106" i="324"/>
  <c r="I105" i="324"/>
  <c r="J105" i="324"/>
  <c r="I104" i="324"/>
  <c r="J104" i="324"/>
  <c r="I103" i="324"/>
  <c r="J103" i="324"/>
  <c r="I102" i="324"/>
  <c r="J102" i="324"/>
  <c r="I101" i="324"/>
  <c r="J101" i="324"/>
  <c r="I100" i="324"/>
  <c r="J100" i="324"/>
  <c r="I99" i="324"/>
  <c r="J99" i="324"/>
  <c r="I98" i="324"/>
  <c r="J98" i="324"/>
  <c r="I97" i="324"/>
  <c r="J97" i="324"/>
  <c r="I96" i="324"/>
  <c r="J96" i="324"/>
  <c r="I94" i="324"/>
  <c r="J94" i="324"/>
  <c r="I93" i="324"/>
  <c r="J93" i="324"/>
  <c r="I92" i="324"/>
  <c r="J92" i="324"/>
  <c r="I91" i="324"/>
  <c r="J91" i="324"/>
  <c r="I90" i="324"/>
  <c r="J90" i="324"/>
  <c r="I89" i="324"/>
  <c r="J89" i="324"/>
  <c r="I88" i="324"/>
  <c r="J88" i="324"/>
  <c r="I87" i="324"/>
  <c r="J87" i="324"/>
  <c r="I86" i="324"/>
  <c r="J86" i="324"/>
  <c r="I85" i="324"/>
  <c r="J85" i="324"/>
  <c r="I83" i="324"/>
  <c r="J83" i="324"/>
  <c r="I82" i="324"/>
  <c r="J82" i="324"/>
  <c r="I81" i="324"/>
  <c r="J81" i="324"/>
  <c r="I80" i="324"/>
  <c r="J80" i="324"/>
  <c r="I79" i="324"/>
  <c r="J79" i="324"/>
  <c r="I78" i="324"/>
  <c r="J78" i="324"/>
  <c r="I77" i="324"/>
  <c r="J77" i="324"/>
  <c r="I76" i="324"/>
  <c r="J76" i="324"/>
  <c r="I75" i="324"/>
  <c r="J75" i="324"/>
  <c r="I74" i="324"/>
  <c r="J74" i="324"/>
  <c r="I73" i="324"/>
  <c r="J73" i="324"/>
  <c r="I72" i="324"/>
  <c r="J72" i="324"/>
  <c r="I71" i="324"/>
  <c r="J71" i="324"/>
  <c r="I70" i="324"/>
  <c r="J70" i="324"/>
  <c r="I69" i="324"/>
  <c r="J69" i="324"/>
  <c r="I68" i="324"/>
  <c r="J68" i="324"/>
  <c r="I67" i="324"/>
  <c r="J67" i="324"/>
  <c r="I66" i="324"/>
  <c r="J66" i="324"/>
  <c r="I65" i="324"/>
  <c r="J65" i="324"/>
  <c r="I64" i="324"/>
  <c r="J64" i="324"/>
  <c r="I63" i="324"/>
  <c r="J63" i="324"/>
  <c r="I62" i="324"/>
  <c r="J62" i="324"/>
  <c r="I61" i="324"/>
  <c r="J61" i="324"/>
  <c r="I60" i="324"/>
  <c r="J60" i="324"/>
  <c r="I59" i="324"/>
  <c r="J59" i="324"/>
  <c r="I58" i="324"/>
  <c r="J58" i="324"/>
  <c r="I57" i="324"/>
  <c r="J57" i="324"/>
  <c r="I56" i="324"/>
  <c r="J56" i="324"/>
  <c r="I55" i="324"/>
  <c r="J55" i="324"/>
  <c r="I54" i="324"/>
  <c r="J54" i="324"/>
  <c r="I53" i="324"/>
  <c r="J53" i="324"/>
  <c r="I52" i="324"/>
  <c r="J52" i="324"/>
  <c r="I50" i="324"/>
  <c r="J50" i="324"/>
  <c r="I49" i="324"/>
  <c r="J49" i="324"/>
  <c r="I48" i="324"/>
  <c r="J48" i="324"/>
  <c r="I47" i="324"/>
  <c r="J47" i="324"/>
  <c r="I46" i="324"/>
  <c r="J46" i="324"/>
  <c r="I45" i="324"/>
  <c r="J45" i="324"/>
  <c r="I44" i="324"/>
  <c r="J44" i="324"/>
  <c r="I43" i="324"/>
  <c r="J43" i="324"/>
  <c r="I42" i="324"/>
  <c r="J42" i="324"/>
  <c r="I41" i="324"/>
  <c r="J41" i="324"/>
  <c r="I39" i="324"/>
  <c r="J39" i="324"/>
  <c r="I38" i="324"/>
  <c r="J38" i="324"/>
  <c r="I37" i="324"/>
  <c r="J37" i="324"/>
  <c r="I36" i="324"/>
  <c r="J36" i="324"/>
  <c r="I35" i="324"/>
  <c r="J35" i="324"/>
  <c r="I34" i="324"/>
  <c r="J34" i="324"/>
  <c r="I33" i="324"/>
  <c r="J33" i="324"/>
  <c r="I32" i="324"/>
  <c r="J32" i="324"/>
  <c r="I31" i="324"/>
  <c r="J31" i="324"/>
  <c r="I30" i="324"/>
  <c r="J30" i="324"/>
  <c r="I29" i="324"/>
  <c r="J29" i="324"/>
  <c r="I28" i="324"/>
  <c r="J28" i="324"/>
  <c r="I27" i="324"/>
  <c r="J27" i="324"/>
  <c r="I26" i="324"/>
  <c r="J26" i="324"/>
  <c r="I25" i="324"/>
  <c r="J25" i="324"/>
  <c r="I24" i="324"/>
  <c r="J24" i="324"/>
  <c r="I23" i="324"/>
  <c r="J23" i="324"/>
  <c r="I22" i="324"/>
  <c r="J22" i="324"/>
  <c r="I21" i="324"/>
  <c r="J21" i="324"/>
  <c r="I20" i="324"/>
  <c r="J20" i="324"/>
  <c r="I19" i="324"/>
  <c r="J19" i="324"/>
  <c r="I18" i="324"/>
  <c r="J18" i="324"/>
  <c r="I17" i="324"/>
  <c r="J17" i="324"/>
  <c r="I16" i="324"/>
  <c r="J16" i="324"/>
  <c r="I15" i="324"/>
  <c r="J15" i="324"/>
  <c r="I14" i="324"/>
  <c r="J14" i="324"/>
  <c r="I13" i="324"/>
  <c r="J13" i="324"/>
  <c r="I12" i="324"/>
  <c r="J12" i="324"/>
  <c r="I11" i="324"/>
  <c r="J11" i="324"/>
  <c r="I10" i="324"/>
  <c r="J10" i="324"/>
  <c r="I9" i="324"/>
  <c r="J9" i="324"/>
  <c r="I8" i="324"/>
  <c r="J8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I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/>
  <c r="I61" i="268"/>
  <c r="J61" i="268"/>
  <c r="I60" i="268"/>
  <c r="J60" i="268"/>
  <c r="I59" i="268"/>
  <c r="J59" i="268"/>
  <c r="I58" i="268"/>
  <c r="J58" i="268"/>
  <c r="I56" i="268"/>
  <c r="J56" i="268"/>
  <c r="I55" i="268"/>
  <c r="J55" i="268"/>
  <c r="I54" i="268"/>
  <c r="J54" i="268"/>
  <c r="I52" i="268"/>
  <c r="J52" i="268"/>
  <c r="I51" i="268"/>
  <c r="J51" i="268"/>
  <c r="I50" i="268"/>
  <c r="J50" i="268"/>
  <c r="I49" i="268"/>
  <c r="J49" i="268"/>
  <c r="I48" i="268"/>
  <c r="J48" i="268"/>
  <c r="I46" i="268"/>
  <c r="J46" i="268"/>
  <c r="I45" i="268"/>
  <c r="J45" i="268"/>
  <c r="I44" i="268"/>
  <c r="J44" i="268"/>
  <c r="A51" i="268"/>
  <c r="A55" i="268"/>
  <c r="I72" i="268"/>
  <c r="J72" i="268"/>
  <c r="I71" i="268"/>
  <c r="J71" i="268"/>
  <c r="I69" i="268"/>
  <c r="J69" i="268"/>
  <c r="I68" i="268"/>
  <c r="J68" i="268"/>
  <c r="I67" i="268"/>
  <c r="J67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F35" i="178"/>
  <c r="F38" i="267"/>
  <c r="F13" i="178"/>
  <c r="F36" i="267"/>
  <c r="F48" i="178"/>
  <c r="F40" i="267"/>
  <c r="F25" i="178"/>
  <c r="F37" i="267"/>
  <c r="A49" i="178"/>
  <c r="A2" i="178"/>
  <c r="G3" i="178"/>
  <c r="F3" i="178"/>
  <c r="E3" i="178"/>
  <c r="D3" i="178"/>
  <c r="C3" i="178"/>
  <c r="B2" i="178"/>
  <c r="F40" i="178"/>
  <c r="F39" i="267"/>
  <c r="I7" i="177"/>
  <c r="J7" i="177"/>
  <c r="I11" i="177"/>
  <c r="J11" i="177"/>
  <c r="I12" i="177"/>
  <c r="J12" i="177"/>
  <c r="I13" i="177"/>
  <c r="J13" i="177"/>
  <c r="I16" i="177"/>
  <c r="J16" i="177"/>
  <c r="I17" i="177"/>
  <c r="J17" i="177"/>
  <c r="E83" i="100"/>
  <c r="B83" i="100"/>
  <c r="I32" i="177"/>
  <c r="J32" i="177"/>
  <c r="I33" i="177"/>
  <c r="I34" i="177"/>
  <c r="J34" i="177"/>
  <c r="I36" i="177"/>
  <c r="J36" i="177"/>
  <c r="J35" i="177"/>
  <c r="J33" i="177"/>
  <c r="I22" i="177"/>
  <c r="J22" i="177"/>
  <c r="I27" i="177"/>
  <c r="J27" i="177"/>
  <c r="I23" i="177"/>
  <c r="J23" i="177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/>
  <c r="F16" i="180"/>
  <c r="F15" i="180"/>
  <c r="B37" i="172"/>
  <c r="G6" i="180"/>
  <c r="C28" i="172"/>
  <c r="F6" i="180"/>
  <c r="B28" i="172"/>
  <c r="G3" i="180"/>
  <c r="C27" i="172"/>
  <c r="F3" i="180"/>
  <c r="B27" i="172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/>
  <c r="D3" i="172"/>
  <c r="D3" i="180"/>
  <c r="D2" i="172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/>
  <c r="B78" i="172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F23" i="181"/>
  <c r="F37" i="181"/>
  <c r="E23" i="181"/>
  <c r="E37" i="181"/>
  <c r="D23" i="181"/>
  <c r="D37" i="181"/>
  <c r="D39" i="181"/>
  <c r="D43" i="181"/>
  <c r="D45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G31" i="183"/>
  <c r="H29" i="183"/>
  <c r="G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/>
  <c r="I27" i="183"/>
  <c r="J27" i="183"/>
  <c r="I26" i="183"/>
  <c r="J26" i="183"/>
  <c r="I25" i="183"/>
  <c r="J25" i="183"/>
  <c r="I24" i="183"/>
  <c r="J24" i="183"/>
  <c r="I23" i="183"/>
  <c r="J23" i="183"/>
  <c r="I22" i="183"/>
  <c r="J22" i="183"/>
  <c r="I21" i="183"/>
  <c r="J21" i="183"/>
  <c r="I20" i="183"/>
  <c r="J20" i="183"/>
  <c r="I19" i="183"/>
  <c r="J19" i="183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J6" i="180"/>
  <c r="I3" i="180"/>
  <c r="H3" i="180"/>
  <c r="B3" i="180"/>
  <c r="B18" i="180"/>
  <c r="I66" i="242"/>
  <c r="J66" i="242"/>
  <c r="I65" i="242"/>
  <c r="J65" i="242"/>
  <c r="J63" i="242"/>
  <c r="J67" i="242"/>
  <c r="I70" i="242"/>
  <c r="J70" i="242"/>
  <c r="I44" i="242"/>
  <c r="J44" i="242"/>
  <c r="I45" i="242"/>
  <c r="J45" i="242"/>
  <c r="I46" i="242"/>
  <c r="J46" i="242"/>
  <c r="I41" i="242"/>
  <c r="J41" i="242"/>
  <c r="I9" i="242"/>
  <c r="J9" i="242"/>
  <c r="I10" i="242"/>
  <c r="J10" i="242"/>
  <c r="I12" i="242"/>
  <c r="J12" i="242"/>
  <c r="I13" i="242"/>
  <c r="J13" i="242"/>
  <c r="I14" i="242"/>
  <c r="J14" i="242"/>
  <c r="I16" i="242"/>
  <c r="J16" i="242"/>
  <c r="I17" i="242"/>
  <c r="J17" i="242"/>
  <c r="I18" i="242"/>
  <c r="J18" i="242"/>
  <c r="I20" i="242"/>
  <c r="J20" i="242"/>
  <c r="I21" i="242"/>
  <c r="J21" i="242"/>
  <c r="I23" i="242"/>
  <c r="J23" i="242"/>
  <c r="I24" i="242"/>
  <c r="J24" i="242"/>
  <c r="I25" i="242"/>
  <c r="J25" i="242"/>
  <c r="I26" i="242"/>
  <c r="J26" i="242"/>
  <c r="J27" i="242"/>
  <c r="I69" i="242"/>
  <c r="J69" i="242"/>
  <c r="I74" i="242"/>
  <c r="J74" i="242"/>
  <c r="I73" i="242"/>
  <c r="J73" i="242"/>
  <c r="I72" i="242"/>
  <c r="J72" i="242"/>
  <c r="I62" i="242"/>
  <c r="J62" i="242"/>
  <c r="I61" i="242"/>
  <c r="J61" i="242"/>
  <c r="I60" i="242"/>
  <c r="J60" i="242"/>
  <c r="I59" i="242"/>
  <c r="J59" i="242"/>
  <c r="I58" i="242"/>
  <c r="J58" i="242"/>
  <c r="I57" i="242"/>
  <c r="J57" i="242"/>
  <c r="I56" i="242"/>
  <c r="J56" i="242"/>
  <c r="I55" i="242"/>
  <c r="J55" i="242"/>
  <c r="I54" i="242"/>
  <c r="J54" i="242"/>
  <c r="I53" i="242"/>
  <c r="J53" i="242"/>
  <c r="I51" i="242"/>
  <c r="J51" i="242"/>
  <c r="I49" i="242"/>
  <c r="J49" i="242"/>
  <c r="I48" i="242"/>
  <c r="J48" i="242"/>
  <c r="I42" i="242"/>
  <c r="J42" i="242"/>
  <c r="I40" i="242"/>
  <c r="J40" i="242"/>
  <c r="I39" i="242"/>
  <c r="J39" i="242"/>
  <c r="I38" i="242"/>
  <c r="J38" i="242"/>
  <c r="I37" i="242"/>
  <c r="J37" i="242"/>
  <c r="I36" i="242"/>
  <c r="J36" i="242"/>
  <c r="I35" i="242"/>
  <c r="J35" i="242"/>
  <c r="I34" i="242"/>
  <c r="J34" i="242"/>
  <c r="I33" i="242"/>
  <c r="J33" i="242"/>
  <c r="I32" i="242"/>
  <c r="J32" i="242"/>
  <c r="I31" i="242"/>
  <c r="J31" i="242"/>
  <c r="I30" i="242"/>
  <c r="J30" i="242"/>
  <c r="I29" i="242"/>
  <c r="J29" i="242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/>
  <c r="I65" i="326"/>
  <c r="J65" i="326"/>
  <c r="I64" i="326"/>
  <c r="J64" i="326"/>
  <c r="J63" i="326"/>
  <c r="A83" i="326"/>
  <c r="I70" i="326"/>
  <c r="J70" i="326"/>
  <c r="I69" i="326"/>
  <c r="J69" i="326"/>
  <c r="J67" i="326"/>
  <c r="I74" i="326"/>
  <c r="J74" i="326"/>
  <c r="I73" i="326"/>
  <c r="J73" i="326"/>
  <c r="I72" i="326"/>
  <c r="J72" i="326"/>
  <c r="I62" i="326"/>
  <c r="J62" i="326"/>
  <c r="I61" i="326"/>
  <c r="J61" i="326"/>
  <c r="I60" i="326"/>
  <c r="J60" i="326"/>
  <c r="I59" i="326"/>
  <c r="J59" i="326"/>
  <c r="I58" i="326"/>
  <c r="J58" i="326"/>
  <c r="I57" i="326"/>
  <c r="J57" i="326"/>
  <c r="I56" i="326"/>
  <c r="J56" i="326"/>
  <c r="I55" i="326"/>
  <c r="J55" i="326"/>
  <c r="I54" i="326"/>
  <c r="J54" i="326"/>
  <c r="I53" i="326"/>
  <c r="J53" i="326"/>
  <c r="I51" i="326"/>
  <c r="J51" i="326"/>
  <c r="I49" i="326"/>
  <c r="J49" i="326"/>
  <c r="I48" i="326"/>
  <c r="J48" i="326"/>
  <c r="I46" i="326"/>
  <c r="J46" i="326"/>
  <c r="I45" i="326"/>
  <c r="J45" i="326"/>
  <c r="I44" i="326"/>
  <c r="J44" i="326"/>
  <c r="I42" i="326"/>
  <c r="J42" i="326"/>
  <c r="I41" i="326"/>
  <c r="J41" i="326"/>
  <c r="I40" i="326"/>
  <c r="J40" i="326"/>
  <c r="I39" i="326"/>
  <c r="J39" i="326"/>
  <c r="I38" i="326"/>
  <c r="J38" i="326"/>
  <c r="I37" i="326"/>
  <c r="J37" i="326"/>
  <c r="I36" i="326"/>
  <c r="J36" i="326"/>
  <c r="I35" i="326"/>
  <c r="J35" i="326"/>
  <c r="I34" i="326"/>
  <c r="J34" i="326"/>
  <c r="I33" i="326"/>
  <c r="J33" i="326"/>
  <c r="I32" i="326"/>
  <c r="J32" i="326"/>
  <c r="I31" i="326"/>
  <c r="J31" i="326"/>
  <c r="I30" i="326"/>
  <c r="J30" i="326"/>
  <c r="I29" i="326"/>
  <c r="J29" i="326"/>
  <c r="J27" i="326"/>
  <c r="I26" i="326"/>
  <c r="J26" i="326"/>
  <c r="I25" i="326"/>
  <c r="J25" i="326"/>
  <c r="I24" i="326"/>
  <c r="J24" i="326"/>
  <c r="I23" i="326"/>
  <c r="J23" i="326"/>
  <c r="I21" i="326"/>
  <c r="J21" i="326"/>
  <c r="I20" i="326"/>
  <c r="J20" i="326"/>
  <c r="I18" i="326"/>
  <c r="J18" i="326"/>
  <c r="I17" i="326"/>
  <c r="J17" i="326"/>
  <c r="I16" i="326"/>
  <c r="J16" i="326"/>
  <c r="I14" i="326"/>
  <c r="J14" i="326"/>
  <c r="I13" i="326"/>
  <c r="J13" i="326"/>
  <c r="I12" i="326"/>
  <c r="J12" i="326"/>
  <c r="I10" i="326"/>
  <c r="J10" i="326"/>
  <c r="I9" i="326"/>
  <c r="J9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11" i="325"/>
  <c r="H15" i="325"/>
  <c r="H19" i="325"/>
  <c r="H22" i="325"/>
  <c r="H28" i="325"/>
  <c r="H43" i="325"/>
  <c r="H47" i="325"/>
  <c r="H64" i="325"/>
  <c r="H68" i="325"/>
  <c r="H72" i="325"/>
  <c r="G8" i="325"/>
  <c r="G11" i="325"/>
  <c r="G15" i="325"/>
  <c r="I15" i="325"/>
  <c r="J15" i="325"/>
  <c r="G19" i="325"/>
  <c r="G22" i="325"/>
  <c r="G28" i="325"/>
  <c r="G43" i="325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/>
  <c r="I69" i="325"/>
  <c r="J69" i="325"/>
  <c r="J67" i="325"/>
  <c r="I74" i="325"/>
  <c r="J74" i="325"/>
  <c r="I73" i="325"/>
  <c r="J73" i="325"/>
  <c r="I62" i="325"/>
  <c r="J62" i="325"/>
  <c r="I61" i="325"/>
  <c r="J61" i="325"/>
  <c r="I60" i="325"/>
  <c r="J60" i="325"/>
  <c r="I59" i="325"/>
  <c r="J59" i="325"/>
  <c r="I58" i="325"/>
  <c r="J58" i="325"/>
  <c r="I57" i="325"/>
  <c r="J57" i="325"/>
  <c r="I56" i="325"/>
  <c r="J56" i="325"/>
  <c r="I55" i="325"/>
  <c r="J55" i="325"/>
  <c r="I54" i="325"/>
  <c r="J54" i="325"/>
  <c r="I53" i="325"/>
  <c r="J53" i="325"/>
  <c r="I51" i="325"/>
  <c r="J51" i="325"/>
  <c r="I49" i="325"/>
  <c r="J49" i="325"/>
  <c r="I48" i="325"/>
  <c r="J48" i="325"/>
  <c r="I46" i="325"/>
  <c r="J46" i="325"/>
  <c r="I45" i="325"/>
  <c r="J45" i="325"/>
  <c r="I44" i="325"/>
  <c r="J44" i="325"/>
  <c r="I42" i="325"/>
  <c r="J42" i="325"/>
  <c r="I41" i="325"/>
  <c r="J41" i="325"/>
  <c r="I40" i="325"/>
  <c r="J40" i="325"/>
  <c r="I39" i="325"/>
  <c r="J39" i="325"/>
  <c r="I38" i="325"/>
  <c r="J38" i="325"/>
  <c r="I37" i="325"/>
  <c r="J37" i="325"/>
  <c r="I36" i="325"/>
  <c r="J36" i="325"/>
  <c r="I35" i="325"/>
  <c r="J35" i="325"/>
  <c r="I34" i="325"/>
  <c r="J34" i="325"/>
  <c r="I33" i="325"/>
  <c r="J33" i="325"/>
  <c r="I32" i="325"/>
  <c r="J32" i="325"/>
  <c r="I31" i="325"/>
  <c r="J31" i="325"/>
  <c r="I30" i="325"/>
  <c r="J30" i="325"/>
  <c r="I29" i="325"/>
  <c r="J29" i="325"/>
  <c r="J27" i="325"/>
  <c r="I26" i="325"/>
  <c r="J26" i="325"/>
  <c r="I25" i="325"/>
  <c r="J25" i="325"/>
  <c r="I24" i="325"/>
  <c r="J24" i="325"/>
  <c r="I23" i="325"/>
  <c r="J23" i="325"/>
  <c r="I21" i="325"/>
  <c r="J21" i="325"/>
  <c r="I20" i="325"/>
  <c r="J20" i="325"/>
  <c r="I18" i="325"/>
  <c r="J18" i="325"/>
  <c r="I17" i="325"/>
  <c r="J17" i="325"/>
  <c r="I16" i="325"/>
  <c r="J16" i="325"/>
  <c r="I14" i="325"/>
  <c r="J14" i="325"/>
  <c r="I13" i="325"/>
  <c r="J13" i="325"/>
  <c r="I12" i="325"/>
  <c r="J12" i="325"/>
  <c r="I10" i="325"/>
  <c r="J10" i="325"/>
  <c r="I9" i="325"/>
  <c r="J9" i="325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F55" i="174"/>
  <c r="F27" i="174"/>
  <c r="E42" i="174"/>
  <c r="E44" i="174"/>
  <c r="H40" i="174"/>
  <c r="G40" i="174"/>
  <c r="F40" i="174"/>
  <c r="E40" i="174"/>
  <c r="D42" i="174"/>
  <c r="D44" i="174"/>
  <c r="D40" i="174"/>
  <c r="H63" i="174"/>
  <c r="H18" i="174"/>
  <c r="G63" i="174"/>
  <c r="G18" i="174"/>
  <c r="F63" i="174"/>
  <c r="F18" i="174"/>
  <c r="E63" i="174"/>
  <c r="E18" i="174"/>
  <c r="H59" i="174"/>
  <c r="G59" i="174"/>
  <c r="F59" i="174"/>
  <c r="E59" i="174"/>
  <c r="D63" i="174"/>
  <c r="D18" i="174"/>
  <c r="D59" i="174"/>
  <c r="H53" i="174"/>
  <c r="H14" i="174"/>
  <c r="H52" i="174"/>
  <c r="E52" i="174"/>
  <c r="D52" i="174"/>
  <c r="H51" i="174"/>
  <c r="H50" i="174"/>
  <c r="G51" i="174"/>
  <c r="G50" i="174"/>
  <c r="F51" i="174"/>
  <c r="F50" i="174"/>
  <c r="E51" i="174"/>
  <c r="E50" i="174"/>
  <c r="D51" i="174"/>
  <c r="D11" i="174"/>
  <c r="D50" i="174"/>
  <c r="H48" i="174"/>
  <c r="H49" i="174"/>
  <c r="G48" i="174"/>
  <c r="F48" i="174"/>
  <c r="E48" i="174"/>
  <c r="D48" i="174"/>
  <c r="D49" i="174"/>
  <c r="H47" i="174"/>
  <c r="G47" i="174"/>
  <c r="F47" i="174"/>
  <c r="E47" i="174"/>
  <c r="D47" i="174"/>
  <c r="E45" i="174"/>
  <c r="D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G21" i="175"/>
  <c r="G26" i="175"/>
  <c r="G27" i="175"/>
  <c r="F21" i="175"/>
  <c r="E21" i="175"/>
  <c r="D21" i="175"/>
  <c r="A2" i="175"/>
  <c r="M14" i="175"/>
  <c r="M21" i="175"/>
  <c r="L15" i="173"/>
  <c r="A2" i="173"/>
  <c r="J12" i="238"/>
  <c r="J22" i="238"/>
  <c r="I22" i="238"/>
  <c r="I24" i="238"/>
  <c r="H22" i="238"/>
  <c r="H24" i="238"/>
  <c r="A25" i="238"/>
  <c r="C41" i="270"/>
  <c r="C59" i="270"/>
  <c r="I63" i="270"/>
  <c r="J63" i="270"/>
  <c r="I53" i="270"/>
  <c r="J53" i="270"/>
  <c r="K52" i="270"/>
  <c r="G52" i="270"/>
  <c r="H52" i="270"/>
  <c r="F52" i="270"/>
  <c r="E52" i="270"/>
  <c r="D52" i="270"/>
  <c r="K62" i="270"/>
  <c r="G62" i="270"/>
  <c r="H62" i="270"/>
  <c r="F62" i="270"/>
  <c r="E62" i="270"/>
  <c r="D62" i="270"/>
  <c r="I61" i="270"/>
  <c r="J61" i="270"/>
  <c r="I60" i="270"/>
  <c r="J60" i="270"/>
  <c r="K59" i="270"/>
  <c r="G59" i="270"/>
  <c r="H59" i="270"/>
  <c r="F59" i="270"/>
  <c r="E59" i="270"/>
  <c r="D59" i="270"/>
  <c r="K41" i="270"/>
  <c r="G41" i="270"/>
  <c r="H41" i="270"/>
  <c r="F41" i="270"/>
  <c r="E41" i="270"/>
  <c r="D41" i="270"/>
  <c r="G27" i="270"/>
  <c r="H27" i="270"/>
  <c r="I28" i="270"/>
  <c r="J28" i="270"/>
  <c r="I29" i="270"/>
  <c r="J29" i="270"/>
  <c r="G30" i="270"/>
  <c r="H30" i="270"/>
  <c r="I31" i="270"/>
  <c r="J31" i="270"/>
  <c r="I37" i="270"/>
  <c r="J37" i="270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/>
  <c r="A59" i="270"/>
  <c r="A52" i="270"/>
  <c r="A41" i="270"/>
  <c r="A31" i="334"/>
  <c r="I42" i="270"/>
  <c r="J42" i="270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J9" i="270"/>
  <c r="I14" i="270"/>
  <c r="J14" i="270"/>
  <c r="I15" i="270"/>
  <c r="J15" i="270"/>
  <c r="I16" i="270"/>
  <c r="J16" i="270"/>
  <c r="I17" i="270"/>
  <c r="J17" i="270"/>
  <c r="I18" i="270"/>
  <c r="J18" i="270"/>
  <c r="I19" i="270"/>
  <c r="J19" i="270"/>
  <c r="I21" i="270"/>
  <c r="J21" i="270"/>
  <c r="I23" i="270"/>
  <c r="J23" i="270"/>
  <c r="I24" i="270"/>
  <c r="I25" i="270"/>
  <c r="J25" i="270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/>
  <c r="I45" i="269"/>
  <c r="J45" i="269"/>
  <c r="K44" i="269"/>
  <c r="G44" i="269"/>
  <c r="H44" i="269"/>
  <c r="F44" i="269"/>
  <c r="E44" i="269"/>
  <c r="D44" i="269"/>
  <c r="C44" i="269"/>
  <c r="I43" i="269"/>
  <c r="J43" i="269"/>
  <c r="I42" i="269"/>
  <c r="J42" i="269"/>
  <c r="K41" i="269"/>
  <c r="G41" i="269"/>
  <c r="H41" i="269"/>
  <c r="F41" i="269"/>
  <c r="E41" i="269"/>
  <c r="D41" i="269"/>
  <c r="C41" i="269"/>
  <c r="I40" i="269"/>
  <c r="J40" i="269"/>
  <c r="I39" i="269"/>
  <c r="J39" i="269"/>
  <c r="K38" i="269"/>
  <c r="G38" i="269"/>
  <c r="H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/>
  <c r="I33" i="269"/>
  <c r="J33" i="269"/>
  <c r="I32" i="269"/>
  <c r="J32" i="269"/>
  <c r="K31" i="269"/>
  <c r="H31" i="269"/>
  <c r="G31" i="269"/>
  <c r="F31" i="269"/>
  <c r="E31" i="269"/>
  <c r="D31" i="269"/>
  <c r="C31" i="269"/>
  <c r="K8" i="269"/>
  <c r="K16" i="269"/>
  <c r="K22" i="269"/>
  <c r="K25" i="269"/>
  <c r="I9" i="269"/>
  <c r="J9" i="269"/>
  <c r="I10" i="269"/>
  <c r="J10" i="269"/>
  <c r="I11" i="269"/>
  <c r="J11" i="269"/>
  <c r="I12" i="269"/>
  <c r="J12" i="269"/>
  <c r="I13" i="269"/>
  <c r="J13" i="269"/>
  <c r="I14" i="269"/>
  <c r="J14" i="269"/>
  <c r="I15" i="269"/>
  <c r="J15" i="269"/>
  <c r="I17" i="269"/>
  <c r="J17" i="269"/>
  <c r="I18" i="269"/>
  <c r="J18" i="269"/>
  <c r="I19" i="269"/>
  <c r="J19" i="269"/>
  <c r="I20" i="269"/>
  <c r="J20" i="269"/>
  <c r="I21" i="269"/>
  <c r="J21" i="269"/>
  <c r="G22" i="269"/>
  <c r="H22" i="269"/>
  <c r="I22" i="269"/>
  <c r="G25" i="269"/>
  <c r="H25" i="269"/>
  <c r="I25" i="269"/>
  <c r="J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/>
  <c r="I26" i="269"/>
  <c r="J26" i="269"/>
  <c r="I24" i="269"/>
  <c r="J24" i="269"/>
  <c r="I23" i="269"/>
  <c r="J23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/>
  <c r="G99" i="318"/>
  <c r="I99" i="318"/>
  <c r="J99" i="318"/>
  <c r="F30" i="318"/>
  <c r="F46" i="318"/>
  <c r="F83" i="318"/>
  <c r="F99" i="318"/>
  <c r="G14" i="318"/>
  <c r="G67" i="318"/>
  <c r="H14" i="318"/>
  <c r="I14" i="318"/>
  <c r="J14" i="318"/>
  <c r="H67" i="318"/>
  <c r="K14" i="318"/>
  <c r="K15" i="318"/>
  <c r="K30" i="318"/>
  <c r="K31" i="318"/>
  <c r="K46" i="318"/>
  <c r="K47" i="318"/>
  <c r="K67" i="318"/>
  <c r="K68" i="318"/>
  <c r="K83" i="318"/>
  <c r="K84" i="318"/>
  <c r="K99" i="318"/>
  <c r="K100" i="318"/>
  <c r="E14" i="318"/>
  <c r="E30" i="318"/>
  <c r="E46" i="318"/>
  <c r="E67" i="318"/>
  <c r="E83" i="318"/>
  <c r="E102" i="318"/>
  <c r="E99" i="318"/>
  <c r="E100" i="318"/>
  <c r="D14" i="318"/>
  <c r="D30" i="318"/>
  <c r="D46" i="318"/>
  <c r="D67" i="318"/>
  <c r="D68" i="318"/>
  <c r="D83" i="318"/>
  <c r="D99" i="318"/>
  <c r="D100" i="318"/>
  <c r="C83" i="318"/>
  <c r="E68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/>
  <c r="I28" i="318"/>
  <c r="J28" i="318"/>
  <c r="I27" i="318"/>
  <c r="J27" i="318"/>
  <c r="I26" i="318"/>
  <c r="J26" i="318"/>
  <c r="I21" i="318"/>
  <c r="J21" i="318"/>
  <c r="I20" i="318"/>
  <c r="J20" i="318"/>
  <c r="I19" i="318"/>
  <c r="J19" i="318"/>
  <c r="I18" i="318"/>
  <c r="J18" i="318"/>
  <c r="I13" i="318"/>
  <c r="J13" i="318"/>
  <c r="I9" i="318"/>
  <c r="J9" i="318"/>
  <c r="I8" i="318"/>
  <c r="J8" i="318"/>
  <c r="I7" i="318"/>
  <c r="J7" i="318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/>
  <c r="P47" i="317"/>
  <c r="P53" i="317"/>
  <c r="O22" i="317"/>
  <c r="O34" i="317"/>
  <c r="O47" i="317"/>
  <c r="O53" i="317"/>
  <c r="O56" i="317"/>
  <c r="Q22" i="317"/>
  <c r="Q34" i="317"/>
  <c r="Q47" i="317"/>
  <c r="Q53" i="317"/>
  <c r="D22" i="317"/>
  <c r="D34" i="317"/>
  <c r="D47" i="317"/>
  <c r="D53" i="317"/>
  <c r="C22" i="317"/>
  <c r="C34" i="317"/>
  <c r="C47" i="317"/>
  <c r="C53" i="317"/>
  <c r="E22" i="317"/>
  <c r="E34" i="317"/>
  <c r="E47" i="317"/>
  <c r="E53" i="317"/>
  <c r="F22" i="317"/>
  <c r="F34" i="317"/>
  <c r="F47" i="317"/>
  <c r="F53" i="317"/>
  <c r="G22" i="317"/>
  <c r="G34" i="317"/>
  <c r="G47" i="317"/>
  <c r="G53" i="317"/>
  <c r="H22" i="317"/>
  <c r="H34" i="317"/>
  <c r="H47" i="317"/>
  <c r="H53" i="317"/>
  <c r="I22" i="317"/>
  <c r="I34" i="317"/>
  <c r="I47" i="317"/>
  <c r="I53" i="317"/>
  <c r="J22" i="317"/>
  <c r="J34" i="317"/>
  <c r="J47" i="317"/>
  <c r="J53" i="317"/>
  <c r="K22" i="317"/>
  <c r="K34" i="317"/>
  <c r="K47" i="317"/>
  <c r="K66" i="317"/>
  <c r="L22" i="317"/>
  <c r="L34" i="317"/>
  <c r="L47" i="317"/>
  <c r="L53" i="317"/>
  <c r="M22" i="317"/>
  <c r="M34" i="317"/>
  <c r="M47" i="317"/>
  <c r="M53" i="317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A2" i="317"/>
  <c r="N54" i="317"/>
  <c r="N36" i="317"/>
  <c r="N35" i="317"/>
  <c r="B13" i="100"/>
  <c r="P3" i="317"/>
  <c r="B2" i="317"/>
  <c r="B47" i="317"/>
  <c r="B53" i="317"/>
  <c r="B55" i="317"/>
  <c r="A58" i="317"/>
  <c r="C7" i="326"/>
  <c r="C76" i="326"/>
  <c r="I78" i="242"/>
  <c r="J78" i="242"/>
  <c r="H17" i="180"/>
  <c r="E31" i="183"/>
  <c r="D31" i="183"/>
  <c r="F39" i="181"/>
  <c r="F43" i="181"/>
  <c r="F45" i="181"/>
  <c r="D41" i="178"/>
  <c r="R342" i="324"/>
  <c r="S342" i="324"/>
  <c r="I231" i="324"/>
  <c r="I29" i="268"/>
  <c r="J29" i="268"/>
  <c r="H31" i="268"/>
  <c r="I275" i="324"/>
  <c r="I33" i="268"/>
  <c r="J33" i="268"/>
  <c r="H35" i="268"/>
  <c r="I319" i="324"/>
  <c r="I37" i="268"/>
  <c r="J37" i="268"/>
  <c r="H22" i="267"/>
  <c r="I22" i="267"/>
  <c r="K339" i="323"/>
  <c r="I68" i="325"/>
  <c r="J68" i="325"/>
  <c r="G7" i="326"/>
  <c r="I43" i="183"/>
  <c r="J43" i="183"/>
  <c r="K14" i="175"/>
  <c r="J50" i="267"/>
  <c r="U342" i="324"/>
  <c r="H172" i="324"/>
  <c r="I18" i="272"/>
  <c r="J18" i="272"/>
  <c r="C38" i="330"/>
  <c r="D63" i="268"/>
  <c r="K63" i="268"/>
  <c r="C75" i="330"/>
  <c r="C107" i="330"/>
  <c r="C44" i="241"/>
  <c r="F44" i="241"/>
  <c r="F17" i="241"/>
  <c r="G47" i="241"/>
  <c r="G32" i="241"/>
  <c r="G21" i="241"/>
  <c r="G18" i="241"/>
  <c r="G15" i="241"/>
  <c r="I15" i="241"/>
  <c r="J15" i="241"/>
  <c r="I34" i="330"/>
  <c r="J34" i="330"/>
  <c r="G11" i="241"/>
  <c r="G10" i="241"/>
  <c r="I10" i="241"/>
  <c r="J10" i="241"/>
  <c r="B93" i="100"/>
  <c r="D44" i="241"/>
  <c r="D34" i="241"/>
  <c r="D85" i="330"/>
  <c r="E32" i="241"/>
  <c r="E75" i="330"/>
  <c r="E21" i="241"/>
  <c r="E11" i="241"/>
  <c r="E16" i="330"/>
  <c r="H48" i="241"/>
  <c r="I135" i="330"/>
  <c r="J135" i="330"/>
  <c r="I129" i="330"/>
  <c r="J129" i="330"/>
  <c r="H34" i="241"/>
  <c r="H13" i="241"/>
  <c r="I13" i="241"/>
  <c r="J13" i="241"/>
  <c r="I27" i="330"/>
  <c r="J27" i="330"/>
  <c r="K40" i="241"/>
  <c r="K39" i="241"/>
  <c r="K32" i="241"/>
  <c r="K75" i="330"/>
  <c r="K53" i="330"/>
  <c r="K21" i="241"/>
  <c r="K11" i="241"/>
  <c r="K16" i="330"/>
  <c r="D21" i="241"/>
  <c r="E44" i="241"/>
  <c r="G44" i="241"/>
  <c r="K122" i="330"/>
  <c r="C53" i="330"/>
  <c r="C21" i="241"/>
  <c r="F66" i="317"/>
  <c r="I176" i="324"/>
  <c r="J176" i="324"/>
  <c r="I242" i="324"/>
  <c r="J242" i="324"/>
  <c r="I253" i="324"/>
  <c r="I31" i="268"/>
  <c r="J31" i="268"/>
  <c r="I264" i="324"/>
  <c r="J264" i="324"/>
  <c r="I330" i="324"/>
  <c r="I38" i="268"/>
  <c r="J38" i="268"/>
  <c r="B79" i="100"/>
  <c r="B96" i="100"/>
  <c r="B97" i="100"/>
  <c r="D7" i="242"/>
  <c r="D76" i="242"/>
  <c r="I41" i="269"/>
  <c r="J41" i="269"/>
  <c r="N342" i="324"/>
  <c r="I11" i="268"/>
  <c r="J11" i="268"/>
  <c r="I15" i="268"/>
  <c r="J15" i="268"/>
  <c r="I286" i="324"/>
  <c r="I34" i="268"/>
  <c r="J34" i="268"/>
  <c r="I297" i="324"/>
  <c r="I35" i="268"/>
  <c r="J35" i="268"/>
  <c r="H28" i="174"/>
  <c r="I83" i="323"/>
  <c r="J83" i="323"/>
  <c r="I61" i="323"/>
  <c r="J61" i="323"/>
  <c r="E339" i="323"/>
  <c r="S340" i="323"/>
  <c r="E33" i="241"/>
  <c r="I38" i="241"/>
  <c r="J38" i="24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I8" i="268"/>
  <c r="J8" i="268"/>
  <c r="D84" i="318"/>
  <c r="H102" i="318"/>
  <c r="J16" i="180"/>
  <c r="I96" i="330"/>
  <c r="J96" i="330"/>
  <c r="I103" i="330"/>
  <c r="J103" i="330"/>
  <c r="I118" i="330"/>
  <c r="J118" i="330"/>
  <c r="C341" i="324"/>
  <c r="F341" i="324"/>
  <c r="K172" i="324"/>
  <c r="J297" i="324"/>
  <c r="G7" i="333"/>
  <c r="G50" i="333"/>
  <c r="I52" i="326"/>
  <c r="J52" i="326"/>
  <c r="I23" i="181"/>
  <c r="J23" i="181"/>
  <c r="G8" i="180"/>
  <c r="G9" i="180"/>
  <c r="C29" i="172"/>
  <c r="I6" i="323"/>
  <c r="J6" i="323"/>
  <c r="G6" i="272"/>
  <c r="F7" i="272"/>
  <c r="D7" i="272"/>
  <c r="G85" i="330"/>
  <c r="A39" i="323"/>
  <c r="A83" i="323"/>
  <c r="A127" i="323"/>
  <c r="I308" i="324"/>
  <c r="J308" i="324"/>
  <c r="A33" i="268"/>
  <c r="A29" i="268"/>
  <c r="A25" i="268"/>
  <c r="F7" i="325"/>
  <c r="F76" i="325"/>
  <c r="I17" i="180"/>
  <c r="H7" i="333"/>
  <c r="A1" i="328"/>
  <c r="A1" i="331"/>
  <c r="B8" i="331"/>
  <c r="P66" i="317"/>
  <c r="J66" i="317"/>
  <c r="D11" i="241"/>
  <c r="D16" i="330"/>
  <c r="G34" i="241"/>
  <c r="H25" i="241"/>
  <c r="I25" i="241"/>
  <c r="J25" i="241"/>
  <c r="I66" i="330"/>
  <c r="J66" i="330"/>
  <c r="K7" i="241"/>
  <c r="K6" i="330"/>
  <c r="E6" i="272"/>
  <c r="E7" i="241"/>
  <c r="E6" i="241"/>
  <c r="E6" i="330"/>
  <c r="G19" i="241"/>
  <c r="H75" i="330"/>
  <c r="C21" i="268"/>
  <c r="B12" i="100"/>
  <c r="O3" i="317"/>
  <c r="B81" i="100"/>
  <c r="A31" i="268"/>
  <c r="A61" i="323"/>
  <c r="A27" i="268"/>
  <c r="A62" i="324"/>
  <c r="B4" i="100"/>
  <c r="B101" i="100"/>
  <c r="A1" i="172"/>
  <c r="F8" i="334"/>
  <c r="G8" i="334"/>
  <c r="G9" i="334"/>
  <c r="F31" i="334"/>
  <c r="F25" i="334"/>
  <c r="G25" i="334"/>
  <c r="F41" i="334"/>
  <c r="G41" i="334"/>
  <c r="G39" i="334"/>
  <c r="G45" i="334"/>
  <c r="F16" i="334"/>
  <c r="G16" i="334"/>
  <c r="F22" i="334"/>
  <c r="G22" i="334"/>
  <c r="I126" i="330"/>
  <c r="J126" i="330"/>
  <c r="G7" i="242"/>
  <c r="D106" i="318"/>
  <c r="C28" i="269"/>
  <c r="D28" i="269"/>
  <c r="I37" i="181"/>
  <c r="J37" i="181"/>
  <c r="E107" i="330"/>
  <c r="I49" i="330"/>
  <c r="J49" i="330"/>
  <c r="I47" i="326"/>
  <c r="J47" i="326"/>
  <c r="I19" i="326"/>
  <c r="J19" i="326"/>
  <c r="I43" i="242"/>
  <c r="J43" i="242"/>
  <c r="I15" i="242"/>
  <c r="J15" i="242"/>
  <c r="D39" i="272"/>
  <c r="I38" i="269"/>
  <c r="J38" i="269"/>
  <c r="K38" i="270"/>
  <c r="I52" i="270"/>
  <c r="J52" i="270"/>
  <c r="I8" i="325"/>
  <c r="J8" i="325"/>
  <c r="F31" i="183"/>
  <c r="K31" i="183"/>
  <c r="H39" i="181"/>
  <c r="H43" i="181"/>
  <c r="H45" i="181"/>
  <c r="I31" i="272"/>
  <c r="J31" i="272"/>
  <c r="Q340" i="323"/>
  <c r="D11" i="267"/>
  <c r="C7" i="242"/>
  <c r="C76" i="242"/>
  <c r="K7" i="326"/>
  <c r="K76" i="326"/>
  <c r="I43" i="326"/>
  <c r="J43" i="326"/>
  <c r="I15" i="326"/>
  <c r="J15" i="326"/>
  <c r="I68" i="242"/>
  <c r="J68" i="242"/>
  <c r="I28" i="242"/>
  <c r="J28" i="242"/>
  <c r="I11" i="242"/>
  <c r="J11" i="242"/>
  <c r="F7" i="242"/>
  <c r="F76" i="242"/>
  <c r="I78" i="333"/>
  <c r="J78" i="333"/>
  <c r="F63" i="268"/>
  <c r="H15" i="267"/>
  <c r="I15" i="267"/>
  <c r="H14" i="267"/>
  <c r="I14" i="267"/>
  <c r="K39" i="272"/>
  <c r="O66" i="317"/>
  <c r="F16" i="330"/>
  <c r="C20" i="241"/>
  <c r="E43" i="241"/>
  <c r="H19" i="241"/>
  <c r="E53" i="330"/>
  <c r="E40" i="241"/>
  <c r="G45" i="241"/>
  <c r="C6" i="330"/>
  <c r="E66" i="317"/>
  <c r="C49" i="318"/>
  <c r="I30" i="270"/>
  <c r="J30" i="270"/>
  <c r="I27" i="270"/>
  <c r="J27" i="270"/>
  <c r="F69" i="270"/>
  <c r="D69" i="270"/>
  <c r="G69" i="270"/>
  <c r="C29" i="267"/>
  <c r="I35" i="272"/>
  <c r="J35" i="272"/>
  <c r="H16" i="267"/>
  <c r="I16" i="267"/>
  <c r="H12" i="267"/>
  <c r="I12" i="267"/>
  <c r="E31" i="318"/>
  <c r="K47" i="269"/>
  <c r="G49" i="174"/>
  <c r="E7" i="174"/>
  <c r="D122" i="330"/>
  <c r="I50" i="326"/>
  <c r="J50" i="326"/>
  <c r="K7" i="242"/>
  <c r="F7" i="326"/>
  <c r="E7" i="326"/>
  <c r="E76" i="326"/>
  <c r="E7" i="242"/>
  <c r="E76" i="242"/>
  <c r="D7" i="326"/>
  <c r="D76" i="333"/>
  <c r="I19" i="241"/>
  <c r="J19" i="241"/>
  <c r="E171" i="323"/>
  <c r="D10" i="241"/>
  <c r="J319" i="324"/>
  <c r="K15" i="173"/>
  <c r="J52" i="267"/>
  <c r="F85" i="330"/>
  <c r="G106" i="318"/>
  <c r="I78" i="326"/>
  <c r="J78" i="326"/>
  <c r="F49" i="174"/>
  <c r="F10" i="174"/>
  <c r="H31" i="183"/>
  <c r="I37" i="272"/>
  <c r="J37" i="272"/>
  <c r="D49" i="318"/>
  <c r="E84" i="318"/>
  <c r="I8" i="270"/>
  <c r="J8" i="270"/>
  <c r="C30" i="172"/>
  <c r="K49" i="318"/>
  <c r="K50" i="318"/>
  <c r="J275" i="324"/>
  <c r="D36" i="267"/>
  <c r="F52" i="174"/>
  <c r="D38" i="267"/>
  <c r="E41" i="178"/>
  <c r="C45" i="241"/>
  <c r="C43" i="241"/>
  <c r="C122" i="330"/>
  <c r="K76" i="242"/>
  <c r="F76" i="326"/>
  <c r="D76" i="326"/>
  <c r="G6" i="268"/>
  <c r="I6" i="268"/>
  <c r="J6" i="268"/>
  <c r="I7" i="324"/>
  <c r="J7" i="324"/>
  <c r="G10" i="268"/>
  <c r="I51" i="324"/>
  <c r="J51" i="324"/>
  <c r="H13" i="268"/>
  <c r="I13" i="268"/>
  <c r="J13" i="268"/>
  <c r="I84" i="324"/>
  <c r="J84" i="324"/>
  <c r="G14" i="268"/>
  <c r="I14" i="268"/>
  <c r="J14" i="268"/>
  <c r="I95" i="324"/>
  <c r="J95" i="324"/>
  <c r="H17" i="268"/>
  <c r="I17" i="268"/>
  <c r="J17" i="268"/>
  <c r="I128" i="324"/>
  <c r="J128" i="324"/>
  <c r="G18" i="268"/>
  <c r="I18" i="268"/>
  <c r="J18" i="268"/>
  <c r="I139" i="324"/>
  <c r="J139" i="324"/>
  <c r="I19" i="325"/>
  <c r="J19" i="325"/>
  <c r="B38" i="172"/>
  <c r="J24" i="270"/>
  <c r="I20" i="270"/>
  <c r="J20" i="270"/>
  <c r="C38" i="270"/>
  <c r="E26" i="175"/>
  <c r="E27" i="175"/>
  <c r="I26" i="175"/>
  <c r="I27" i="175"/>
  <c r="E26" i="178"/>
  <c r="C85" i="330"/>
  <c r="G50" i="242"/>
  <c r="I50" i="242"/>
  <c r="J50" i="242"/>
  <c r="I52" i="242"/>
  <c r="J52" i="242"/>
  <c r="B5" i="100"/>
  <c r="B47" i="100"/>
  <c r="X38" i="329"/>
  <c r="H20" i="272"/>
  <c r="I20" i="272"/>
  <c r="J20" i="272"/>
  <c r="I160" i="323"/>
  <c r="J160" i="323"/>
  <c r="H16" i="272"/>
  <c r="I16" i="272"/>
  <c r="J16" i="272"/>
  <c r="I116" i="323"/>
  <c r="J116" i="323"/>
  <c r="K106" i="318"/>
  <c r="J286" i="324"/>
  <c r="H16" i="180"/>
  <c r="I16" i="180"/>
  <c r="A185" i="323"/>
  <c r="C339" i="323"/>
  <c r="H7" i="242"/>
  <c r="H76" i="242"/>
  <c r="E122" i="330"/>
  <c r="E39" i="241"/>
  <c r="H7" i="326"/>
  <c r="F53" i="174"/>
  <c r="F14" i="174"/>
  <c r="I72" i="323"/>
  <c r="J72" i="323"/>
  <c r="D55" i="174"/>
  <c r="C54" i="182"/>
  <c r="J38" i="267"/>
  <c r="G41" i="178"/>
  <c r="J43" i="267"/>
  <c r="K39" i="177"/>
  <c r="G45" i="267"/>
  <c r="I37" i="177"/>
  <c r="J37" i="177"/>
  <c r="G42" i="241"/>
  <c r="I42" i="241"/>
  <c r="J42" i="241"/>
  <c r="G107" i="330"/>
  <c r="C13" i="241"/>
  <c r="C16" i="330"/>
  <c r="C72" i="330"/>
  <c r="C150" i="330"/>
  <c r="H52" i="325"/>
  <c r="I78" i="325"/>
  <c r="J78" i="325"/>
  <c r="C43" i="267"/>
  <c r="D39" i="177"/>
  <c r="D41" i="177"/>
  <c r="C46" i="267"/>
  <c r="I306" i="323"/>
  <c r="J306" i="323"/>
  <c r="G36" i="272"/>
  <c r="I36" i="272"/>
  <c r="J36" i="272"/>
  <c r="H24" i="272"/>
  <c r="E106" i="318"/>
  <c r="K69" i="270"/>
  <c r="I59" i="270"/>
  <c r="F11" i="174"/>
  <c r="H11" i="174"/>
  <c r="F28" i="174"/>
  <c r="I11" i="325"/>
  <c r="J11" i="325"/>
  <c r="I29" i="183"/>
  <c r="J29" i="183"/>
  <c r="C39" i="181"/>
  <c r="C43" i="181"/>
  <c r="C45" i="181"/>
  <c r="E39" i="181"/>
  <c r="E43" i="181"/>
  <c r="E45" i="181"/>
  <c r="K39" i="181"/>
  <c r="K43" i="181"/>
  <c r="K45" i="181"/>
  <c r="E63" i="268"/>
  <c r="I33" i="272"/>
  <c r="J33" i="272"/>
  <c r="B99" i="100"/>
  <c r="I20" i="268"/>
  <c r="J20" i="268"/>
  <c r="I328" i="323"/>
  <c r="J328" i="323"/>
  <c r="I284" i="323"/>
  <c r="J284" i="323"/>
  <c r="I240" i="323"/>
  <c r="J240" i="323"/>
  <c r="E7" i="333"/>
  <c r="I68" i="333"/>
  <c r="J68" i="333"/>
  <c r="M340" i="323"/>
  <c r="O340" i="323"/>
  <c r="W340" i="323"/>
  <c r="E33" i="267"/>
  <c r="C18" i="267"/>
  <c r="C19" i="267"/>
  <c r="G18" i="267"/>
  <c r="E28" i="334"/>
  <c r="P55" i="317"/>
  <c r="C102" i="318"/>
  <c r="C104" i="318"/>
  <c r="I67" i="318"/>
  <c r="J67" i="318"/>
  <c r="C47" i="269"/>
  <c r="I29" i="272"/>
  <c r="J29" i="272"/>
  <c r="V340" i="323"/>
  <c r="J33" i="267"/>
  <c r="C39" i="177"/>
  <c r="C41" i="177"/>
  <c r="B46" i="267"/>
  <c r="B2" i="100"/>
  <c r="A15" i="175"/>
  <c r="H17" i="267"/>
  <c r="I17" i="267"/>
  <c r="A8" i="268"/>
  <c r="G28" i="269"/>
  <c r="K53" i="317"/>
  <c r="K55" i="317"/>
  <c r="K67" i="317"/>
  <c r="C49" i="269"/>
  <c r="E15" i="318"/>
  <c r="A38" i="334"/>
  <c r="A38" i="269"/>
  <c r="F28" i="334"/>
  <c r="G28" i="334"/>
  <c r="I16" i="269"/>
  <c r="J16" i="269"/>
  <c r="G76" i="326"/>
  <c r="G76" i="333"/>
  <c r="C106" i="318"/>
  <c r="J231" i="324"/>
  <c r="G66" i="317"/>
  <c r="F7" i="174"/>
  <c r="K102" i="318"/>
  <c r="K104" i="318"/>
  <c r="K105" i="318"/>
  <c r="I24" i="268"/>
  <c r="J24" i="268"/>
  <c r="D102" i="318"/>
  <c r="D104" i="318"/>
  <c r="L66" i="317"/>
  <c r="F26" i="174"/>
  <c r="F102" i="318"/>
  <c r="D47" i="269"/>
  <c r="A41" i="334"/>
  <c r="A41" i="269"/>
  <c r="G26" i="178"/>
  <c r="H39" i="174"/>
  <c r="E47" i="318"/>
  <c r="E39" i="182"/>
  <c r="E43" i="182"/>
  <c r="E45" i="182"/>
  <c r="E47" i="182"/>
  <c r="E49" i="182"/>
  <c r="E54" i="182"/>
  <c r="B37" i="267"/>
  <c r="C26" i="178"/>
  <c r="D39" i="174"/>
  <c r="B39" i="267"/>
  <c r="C41" i="178"/>
  <c r="C38" i="267"/>
  <c r="E53" i="174"/>
  <c r="E14" i="174"/>
  <c r="C40" i="267"/>
  <c r="E49" i="174"/>
  <c r="G44" i="267"/>
  <c r="I28" i="177"/>
  <c r="J28" i="177"/>
  <c r="C69" i="270"/>
  <c r="C71" i="270"/>
  <c r="J24" i="238"/>
  <c r="H26" i="175"/>
  <c r="H27" i="175"/>
  <c r="F13" i="174"/>
  <c r="H17" i="174"/>
  <c r="G7" i="325"/>
  <c r="I22" i="325"/>
  <c r="J22" i="325"/>
  <c r="C31" i="183"/>
  <c r="G39" i="181"/>
  <c r="G43" i="181"/>
  <c r="O342" i="324"/>
  <c r="V342" i="324"/>
  <c r="W342" i="324"/>
  <c r="I11" i="272"/>
  <c r="J11" i="272"/>
  <c r="K6" i="272"/>
  <c r="K171" i="323"/>
  <c r="K341" i="323"/>
  <c r="I94" i="323"/>
  <c r="J94" i="323"/>
  <c r="G14" i="272"/>
  <c r="I14" i="272"/>
  <c r="J14" i="272"/>
  <c r="C33" i="267"/>
  <c r="D40" i="241"/>
  <c r="D107" i="330"/>
  <c r="K36" i="241"/>
  <c r="K33" i="241"/>
  <c r="K85" i="330"/>
  <c r="K18" i="241"/>
  <c r="K38" i="330"/>
  <c r="K72" i="330"/>
  <c r="G19" i="272"/>
  <c r="I19" i="272"/>
  <c r="J19" i="272"/>
  <c r="I149" i="323"/>
  <c r="J149" i="323"/>
  <c r="G17" i="272"/>
  <c r="I17" i="272"/>
  <c r="J17" i="272"/>
  <c r="I127" i="323"/>
  <c r="J127" i="323"/>
  <c r="G15" i="272"/>
  <c r="I15" i="272"/>
  <c r="J15" i="272"/>
  <c r="I105" i="323"/>
  <c r="J105" i="323"/>
  <c r="E74" i="268"/>
  <c r="D29" i="267"/>
  <c r="D33" i="267"/>
  <c r="I262" i="323"/>
  <c r="J262" i="323"/>
  <c r="G32" i="272"/>
  <c r="I32" i="272"/>
  <c r="J32" i="272"/>
  <c r="I30" i="272"/>
  <c r="J30" i="272"/>
  <c r="H28" i="272"/>
  <c r="I28" i="272"/>
  <c r="J28" i="272"/>
  <c r="I218" i="323"/>
  <c r="J218" i="323"/>
  <c r="I14" i="241"/>
  <c r="J14" i="241"/>
  <c r="E85" i="330"/>
  <c r="G34" i="272"/>
  <c r="I34" i="272"/>
  <c r="J34" i="272"/>
  <c r="G38" i="272"/>
  <c r="I38" i="272"/>
  <c r="J38" i="272"/>
  <c r="C74" i="268"/>
  <c r="B29" i="267"/>
  <c r="B33" i="267"/>
  <c r="E76" i="333"/>
  <c r="P340" i="323"/>
  <c r="R340" i="323"/>
  <c r="B18" i="267"/>
  <c r="B19" i="267"/>
  <c r="D18" i="267"/>
  <c r="D19" i="267"/>
  <c r="D20" i="267"/>
  <c r="D23" i="267"/>
  <c r="D25" i="267"/>
  <c r="F18" i="267"/>
  <c r="F19" i="267"/>
  <c r="J18" i="267"/>
  <c r="J19" i="267"/>
  <c r="G16" i="330"/>
  <c r="F7" i="333"/>
  <c r="F76" i="333"/>
  <c r="I64" i="333"/>
  <c r="J64" i="333"/>
  <c r="I72" i="333"/>
  <c r="J72" i="333"/>
  <c r="C28" i="334"/>
  <c r="C47" i="334"/>
  <c r="E47" i="334"/>
  <c r="E49" i="334"/>
  <c r="F38" i="334"/>
  <c r="G38" i="334"/>
  <c r="H13" i="174"/>
  <c r="I70" i="268"/>
  <c r="J70" i="268"/>
  <c r="I35" i="241"/>
  <c r="J35" i="241"/>
  <c r="E49" i="318"/>
  <c r="E104" i="318"/>
  <c r="E39" i="177"/>
  <c r="E41" i="177"/>
  <c r="D46" i="267"/>
  <c r="E341" i="324"/>
  <c r="C63" i="268"/>
  <c r="F47" i="269"/>
  <c r="I31" i="241"/>
  <c r="J31" i="241"/>
  <c r="I7" i="242"/>
  <c r="J7" i="242"/>
  <c r="G76" i="325"/>
  <c r="H15" i="180"/>
  <c r="I15" i="180"/>
  <c r="J15" i="180"/>
  <c r="J55" i="317"/>
  <c r="J67" i="317"/>
  <c r="I66" i="317"/>
  <c r="E50" i="318"/>
  <c r="D47" i="318"/>
  <c r="D15" i="318"/>
  <c r="K28" i="269"/>
  <c r="K49" i="269"/>
  <c r="E38" i="270"/>
  <c r="D7" i="174"/>
  <c r="C7" i="325"/>
  <c r="C76" i="325"/>
  <c r="H7" i="325"/>
  <c r="K7" i="325"/>
  <c r="K76" i="325"/>
  <c r="K71" i="270"/>
  <c r="Q55" i="317"/>
  <c r="O55" i="317"/>
  <c r="O67" i="317"/>
  <c r="J20" i="267"/>
  <c r="J23" i="267"/>
  <c r="J25" i="267"/>
  <c r="E341" i="323"/>
  <c r="I32" i="268"/>
  <c r="J32" i="268"/>
  <c r="I55" i="317"/>
  <c r="I67" i="317"/>
  <c r="J330" i="324"/>
  <c r="I30" i="268"/>
  <c r="J30" i="268"/>
  <c r="H66" i="317"/>
  <c r="L55" i="317"/>
  <c r="L67" i="317"/>
  <c r="D31" i="318"/>
  <c r="G102" i="318"/>
  <c r="I102" i="318"/>
  <c r="J102" i="318"/>
  <c r="F106" i="318"/>
  <c r="E47" i="269"/>
  <c r="A44" i="269"/>
  <c r="E69" i="270"/>
  <c r="E71" i="270"/>
  <c r="F17" i="174"/>
  <c r="D7" i="325"/>
  <c r="D76" i="325"/>
  <c r="E7" i="325"/>
  <c r="I43" i="325"/>
  <c r="J43" i="325"/>
  <c r="I72" i="325"/>
  <c r="J72" i="325"/>
  <c r="I64" i="325"/>
  <c r="J64" i="325"/>
  <c r="I47" i="325"/>
  <c r="J47" i="325"/>
  <c r="I28" i="325"/>
  <c r="J28" i="325"/>
  <c r="I16" i="183"/>
  <c r="C39" i="272"/>
  <c r="I12" i="272"/>
  <c r="J12" i="272"/>
  <c r="N340" i="323"/>
  <c r="U340" i="323"/>
  <c r="E21" i="272"/>
  <c r="I13" i="272"/>
  <c r="J13" i="272"/>
  <c r="H31" i="267"/>
  <c r="I31" i="267"/>
  <c r="C33" i="241"/>
  <c r="H85" i="330"/>
  <c r="I85" i="330"/>
  <c r="F24" i="238"/>
  <c r="H45" i="267"/>
  <c r="I45" i="267"/>
  <c r="B3" i="100"/>
  <c r="C77" i="172"/>
  <c r="C10" i="241"/>
  <c r="C7" i="333"/>
  <c r="C76" i="333"/>
  <c r="I8" i="333"/>
  <c r="J8" i="333"/>
  <c r="K7" i="333"/>
  <c r="K76" i="333"/>
  <c r="I11" i="333"/>
  <c r="J11" i="333"/>
  <c r="I15" i="333"/>
  <c r="J15" i="333"/>
  <c r="I19" i="333"/>
  <c r="J19" i="333"/>
  <c r="I22" i="333"/>
  <c r="J22" i="333"/>
  <c r="I28" i="333"/>
  <c r="J28" i="333"/>
  <c r="I43" i="333"/>
  <c r="J43" i="333"/>
  <c r="I47" i="333"/>
  <c r="J47" i="333"/>
  <c r="D28" i="334"/>
  <c r="D47" i="334"/>
  <c r="F44" i="334"/>
  <c r="G44" i="334"/>
  <c r="F53" i="330"/>
  <c r="L342" i="324"/>
  <c r="I36" i="268"/>
  <c r="J36" i="268"/>
  <c r="I12" i="268"/>
  <c r="J12" i="268"/>
  <c r="I19" i="268"/>
  <c r="J19" i="268"/>
  <c r="P342" i="324"/>
  <c r="T342" i="324"/>
  <c r="K40" i="268"/>
  <c r="H46" i="174"/>
  <c r="H8" i="174"/>
  <c r="K341" i="324"/>
  <c r="K343" i="324"/>
  <c r="F21" i="268"/>
  <c r="H26" i="268"/>
  <c r="I198" i="324"/>
  <c r="D53" i="174"/>
  <c r="D14" i="174"/>
  <c r="G53" i="174"/>
  <c r="G14" i="174"/>
  <c r="D26" i="178"/>
  <c r="E39" i="174"/>
  <c r="C39" i="268"/>
  <c r="C40" i="268"/>
  <c r="B28" i="267"/>
  <c r="E29" i="241"/>
  <c r="E55" i="174"/>
  <c r="E17" i="174"/>
  <c r="D39" i="182"/>
  <c r="D43" i="182"/>
  <c r="D45" i="182"/>
  <c r="D47" i="182"/>
  <c r="D49" i="182"/>
  <c r="J17" i="180"/>
  <c r="H55" i="317"/>
  <c r="E39" i="268"/>
  <c r="F26" i="178"/>
  <c r="G39" i="174"/>
  <c r="I187" i="324"/>
  <c r="I25" i="268"/>
  <c r="I40" i="324"/>
  <c r="J40" i="324"/>
  <c r="G63" i="268"/>
  <c r="G43" i="241"/>
  <c r="I64" i="330"/>
  <c r="J64" i="330"/>
  <c r="G54" i="182"/>
  <c r="D10" i="174"/>
  <c r="C171" i="323"/>
  <c r="C341" i="323"/>
  <c r="C29" i="241"/>
  <c r="C16" i="241"/>
  <c r="C6" i="241"/>
  <c r="C26" i="241"/>
  <c r="B11" i="267"/>
  <c r="B20" i="267"/>
  <c r="B23" i="267"/>
  <c r="B25" i="267"/>
  <c r="D27" i="174"/>
  <c r="D26" i="174"/>
  <c r="D17" i="174"/>
  <c r="D28" i="174"/>
  <c r="C39" i="182"/>
  <c r="C43" i="182"/>
  <c r="C45" i="182"/>
  <c r="C47" i="182"/>
  <c r="C49" i="182"/>
  <c r="I62" i="270"/>
  <c r="J62" i="270"/>
  <c r="G55" i="317"/>
  <c r="G67" i="317"/>
  <c r="H10" i="174"/>
  <c r="F41" i="178"/>
  <c r="G53" i="330"/>
  <c r="K6" i="241"/>
  <c r="F33" i="241"/>
  <c r="H16" i="330"/>
  <c r="H26" i="174"/>
  <c r="F55" i="317"/>
  <c r="F67" i="317"/>
  <c r="N22" i="317"/>
  <c r="N34" i="317"/>
  <c r="E28" i="269"/>
  <c r="F28" i="269"/>
  <c r="G31" i="334"/>
  <c r="F7" i="180"/>
  <c r="F8" i="180"/>
  <c r="G45" i="174"/>
  <c r="G7" i="174"/>
  <c r="I37" i="182"/>
  <c r="J37" i="182"/>
  <c r="E20" i="241"/>
  <c r="K20" i="241"/>
  <c r="I54" i="330"/>
  <c r="J54" i="330"/>
  <c r="H45" i="174"/>
  <c r="H7" i="174"/>
  <c r="I34" i="241"/>
  <c r="J34" i="241"/>
  <c r="I112" i="330"/>
  <c r="J112" i="330"/>
  <c r="F38" i="330"/>
  <c r="F10" i="241"/>
  <c r="K29" i="241"/>
  <c r="G38" i="330"/>
  <c r="I60" i="330"/>
  <c r="J60" i="330"/>
  <c r="K107" i="330"/>
  <c r="K141" i="330"/>
  <c r="I43" i="330"/>
  <c r="J43" i="330"/>
  <c r="E39" i="272"/>
  <c r="K21" i="272"/>
  <c r="K40" i="272"/>
  <c r="K41" i="177"/>
  <c r="J46" i="267"/>
  <c r="E55" i="317"/>
  <c r="E67" i="317"/>
  <c r="C55" i="317"/>
  <c r="C57" i="317"/>
  <c r="D56" i="317"/>
  <c r="H69" i="270"/>
  <c r="I8" i="269"/>
  <c r="I31" i="269"/>
  <c r="J31" i="269"/>
  <c r="H28" i="269"/>
  <c r="H47" i="269"/>
  <c r="G11" i="174"/>
  <c r="I47" i="268"/>
  <c r="J47" i="268"/>
  <c r="F11" i="267"/>
  <c r="H25" i="272"/>
  <c r="I86" i="330"/>
  <c r="J86" i="330"/>
  <c r="G11" i="267"/>
  <c r="G122" i="330"/>
  <c r="F26" i="175"/>
  <c r="F27" i="175"/>
  <c r="E76" i="325"/>
  <c r="H106" i="318"/>
  <c r="I46" i="318"/>
  <c r="J46" i="318"/>
  <c r="H49" i="318"/>
  <c r="H104" i="318"/>
  <c r="F49" i="318"/>
  <c r="F104" i="318"/>
  <c r="G49" i="318"/>
  <c r="I30" i="318"/>
  <c r="J30" i="318"/>
  <c r="D55" i="317"/>
  <c r="H7" i="267"/>
  <c r="I7" i="267"/>
  <c r="I23" i="182"/>
  <c r="J23" i="182"/>
  <c r="H39" i="182"/>
  <c r="H43" i="182"/>
  <c r="H45" i="182"/>
  <c r="H47" i="182"/>
  <c r="H49" i="182"/>
  <c r="G47" i="269"/>
  <c r="G49" i="269"/>
  <c r="D49" i="269"/>
  <c r="I44" i="269"/>
  <c r="I47" i="269"/>
  <c r="J47" i="269"/>
  <c r="F38" i="270"/>
  <c r="F71" i="270"/>
  <c r="H6" i="180"/>
  <c r="I6" i="180"/>
  <c r="I24" i="272"/>
  <c r="J24" i="272"/>
  <c r="G75" i="330"/>
  <c r="I75" i="330"/>
  <c r="J75" i="330"/>
  <c r="H39" i="177"/>
  <c r="H41" i="177"/>
  <c r="G46" i="267"/>
  <c r="H63" i="268"/>
  <c r="G33" i="267"/>
  <c r="H30" i="267"/>
  <c r="I30" i="267"/>
  <c r="I220" i="324"/>
  <c r="D341" i="324"/>
  <c r="G39" i="182"/>
  <c r="G43" i="182"/>
  <c r="G45" i="182"/>
  <c r="G47" i="182"/>
  <c r="G49" i="182"/>
  <c r="G6" i="330"/>
  <c r="I133" i="330"/>
  <c r="J133" i="330"/>
  <c r="F75" i="330"/>
  <c r="I76" i="330"/>
  <c r="J76" i="330"/>
  <c r="H122" i="330"/>
  <c r="H141" i="330"/>
  <c r="I108" i="330"/>
  <c r="J108" i="330"/>
  <c r="G33" i="241"/>
  <c r="F43" i="241"/>
  <c r="F122" i="330"/>
  <c r="I57" i="330"/>
  <c r="J57" i="330"/>
  <c r="H38" i="330"/>
  <c r="I38" i="330"/>
  <c r="J38" i="330"/>
  <c r="I8" i="241"/>
  <c r="J8" i="241"/>
  <c r="F20" i="241"/>
  <c r="F6" i="330"/>
  <c r="A1" i="324"/>
  <c r="A1" i="241"/>
  <c r="E11" i="267"/>
  <c r="I39" i="323"/>
  <c r="J39" i="323"/>
  <c r="I39" i="330"/>
  <c r="J39" i="330"/>
  <c r="I17" i="330"/>
  <c r="J17" i="330"/>
  <c r="I53" i="268"/>
  <c r="J53" i="268"/>
  <c r="D50" i="318"/>
  <c r="H38" i="270"/>
  <c r="G38" i="270"/>
  <c r="G71" i="270"/>
  <c r="D38" i="270"/>
  <c r="D71" i="270"/>
  <c r="E21" i="268"/>
  <c r="G172" i="324"/>
  <c r="I172" i="324"/>
  <c r="J172" i="324"/>
  <c r="E172" i="324"/>
  <c r="F172" i="324"/>
  <c r="F343" i="324"/>
  <c r="D39" i="268"/>
  <c r="I11" i="330"/>
  <c r="J11" i="330"/>
  <c r="F29" i="241"/>
  <c r="F339" i="323"/>
  <c r="O57" i="317"/>
  <c r="P56" i="317"/>
  <c r="P57" i="317"/>
  <c r="Q56" i="317"/>
  <c r="Q57" i="317"/>
  <c r="P67" i="317"/>
  <c r="G10" i="180"/>
  <c r="C31" i="172"/>
  <c r="H67" i="317"/>
  <c r="J83" i="318"/>
  <c r="J59" i="270"/>
  <c r="I7" i="333"/>
  <c r="J7" i="333"/>
  <c r="J253" i="324"/>
  <c r="C141" i="330"/>
  <c r="E11" i="174"/>
  <c r="C11" i="272"/>
  <c r="C21" i="272"/>
  <c r="C11" i="267"/>
  <c r="I50" i="323"/>
  <c r="J50" i="323"/>
  <c r="J26" i="175"/>
  <c r="J27" i="175"/>
  <c r="D30" i="241"/>
  <c r="D75" i="330"/>
  <c r="E18" i="241"/>
  <c r="E16" i="241"/>
  <c r="E38" i="330"/>
  <c r="F40" i="241"/>
  <c r="F39" i="241"/>
  <c r="F107" i="330"/>
  <c r="H107" i="330"/>
  <c r="C39" i="241"/>
  <c r="I36" i="241"/>
  <c r="J36" i="241"/>
  <c r="K43" i="241"/>
  <c r="K16" i="241"/>
  <c r="I9" i="268"/>
  <c r="J9" i="268"/>
  <c r="I10" i="268"/>
  <c r="J10" i="268"/>
  <c r="I52" i="333"/>
  <c r="J52" i="333"/>
  <c r="H50" i="333"/>
  <c r="I50" i="333"/>
  <c r="J50" i="333"/>
  <c r="F6" i="241"/>
  <c r="G20" i="241"/>
  <c r="H53" i="330"/>
  <c r="B14" i="100"/>
  <c r="Q3" i="317"/>
  <c r="C172" i="324"/>
  <c r="C343" i="324"/>
  <c r="I16" i="268"/>
  <c r="J16" i="268"/>
  <c r="I57" i="268"/>
  <c r="J57" i="268"/>
  <c r="H8" i="267"/>
  <c r="I8" i="267"/>
  <c r="L21" i="175"/>
  <c r="C79" i="172"/>
  <c r="B79" i="172"/>
  <c r="D26" i="175"/>
  <c r="D27" i="175"/>
  <c r="L14" i="175"/>
  <c r="H21" i="241"/>
  <c r="I21" i="241"/>
  <c r="H10" i="267"/>
  <c r="I10" i="267"/>
  <c r="E10" i="174"/>
  <c r="I7" i="268"/>
  <c r="D21" i="268"/>
  <c r="D172" i="324"/>
  <c r="I32" i="241"/>
  <c r="J32" i="241"/>
  <c r="I80" i="330"/>
  <c r="J80" i="330"/>
  <c r="D43" i="241"/>
  <c r="D29" i="241"/>
  <c r="H6" i="330"/>
  <c r="I7" i="330"/>
  <c r="J7" i="330"/>
  <c r="G16" i="241"/>
  <c r="D39" i="241"/>
  <c r="H33" i="241"/>
  <c r="I11" i="241"/>
  <c r="J11" i="241"/>
  <c r="H10" i="241"/>
  <c r="E10" i="241"/>
  <c r="E49" i="241"/>
  <c r="K10" i="241"/>
  <c r="I48" i="241"/>
  <c r="J48" i="241"/>
  <c r="D33" i="241"/>
  <c r="F16" i="241"/>
  <c r="D16" i="241"/>
  <c r="I7" i="241"/>
  <c r="J7" i="241"/>
  <c r="H6" i="241"/>
  <c r="D53" i="330"/>
  <c r="D22" i="241"/>
  <c r="D20" i="241"/>
  <c r="D38" i="330"/>
  <c r="D6" i="330"/>
  <c r="D6" i="241"/>
  <c r="D339" i="323"/>
  <c r="D171" i="323"/>
  <c r="H7" i="272"/>
  <c r="D21" i="272"/>
  <c r="D40" i="272"/>
  <c r="H10" i="272"/>
  <c r="E27" i="174"/>
  <c r="A12" i="268"/>
  <c r="A10" i="268"/>
  <c r="B61" i="100"/>
  <c r="A1" i="174"/>
  <c r="A1" i="177"/>
  <c r="A1" i="267"/>
  <c r="A1" i="323"/>
  <c r="C2" i="173"/>
  <c r="D2" i="182"/>
  <c r="D2" i="270"/>
  <c r="C2" i="334"/>
  <c r="C2" i="272"/>
  <c r="D2" i="326"/>
  <c r="C2" i="323"/>
  <c r="D2" i="241"/>
  <c r="C2" i="324"/>
  <c r="D2" i="174"/>
  <c r="C2" i="177"/>
  <c r="C2" i="182"/>
  <c r="C2" i="181"/>
  <c r="C2" i="325"/>
  <c r="B102" i="100"/>
  <c r="A26" i="172"/>
  <c r="B2" i="267"/>
  <c r="C2" i="318"/>
  <c r="C2" i="178"/>
  <c r="A1" i="325"/>
  <c r="A1" i="182"/>
  <c r="A1" i="178"/>
  <c r="A1" i="272"/>
  <c r="A1" i="333"/>
  <c r="A1" i="251"/>
  <c r="A1" i="268"/>
  <c r="A1" i="330"/>
  <c r="C2" i="241"/>
  <c r="C2" i="242"/>
  <c r="C2" i="333"/>
  <c r="C2" i="183"/>
  <c r="C2" i="270"/>
  <c r="C2" i="268"/>
  <c r="A54" i="172"/>
  <c r="A103" i="172"/>
  <c r="C2" i="269"/>
  <c r="B2" i="180"/>
  <c r="B2" i="172"/>
  <c r="G43" i="178"/>
  <c r="G54" i="178"/>
  <c r="E141" i="330"/>
  <c r="K86" i="242"/>
  <c r="I107" i="330"/>
  <c r="J107" i="330"/>
  <c r="I16" i="330"/>
  <c r="J16" i="330"/>
  <c r="H18" i="267"/>
  <c r="I18" i="267"/>
  <c r="G19" i="267"/>
  <c r="E26" i="241"/>
  <c r="E72" i="330"/>
  <c r="D141" i="330"/>
  <c r="C142" i="330"/>
  <c r="I39" i="181"/>
  <c r="J39" i="181"/>
  <c r="C20" i="267"/>
  <c r="C23" i="267"/>
  <c r="C25" i="267"/>
  <c r="J44" i="269"/>
  <c r="I49" i="318"/>
  <c r="J49" i="318"/>
  <c r="H11" i="267"/>
  <c r="I11" i="267"/>
  <c r="D49" i="334"/>
  <c r="I38" i="270"/>
  <c r="C49" i="334"/>
  <c r="D2" i="269"/>
  <c r="D2" i="181"/>
  <c r="C2" i="267"/>
  <c r="D2" i="183"/>
  <c r="I33" i="241"/>
  <c r="J33" i="241"/>
  <c r="J28" i="267"/>
  <c r="G21" i="268"/>
  <c r="I52" i="325"/>
  <c r="J52" i="325"/>
  <c r="H50" i="325"/>
  <c r="I50" i="325"/>
  <c r="J50" i="325"/>
  <c r="G76" i="242"/>
  <c r="I76" i="242"/>
  <c r="J76" i="242"/>
  <c r="F39" i="174"/>
  <c r="E43" i="178"/>
  <c r="E54" i="178"/>
  <c r="D2" i="323"/>
  <c r="D2" i="242"/>
  <c r="C2" i="317"/>
  <c r="D2" i="325"/>
  <c r="D2" i="318"/>
  <c r="D2" i="333"/>
  <c r="D105" i="318"/>
  <c r="C3" i="334"/>
  <c r="C2" i="326"/>
  <c r="B77" i="172"/>
  <c r="C2" i="330"/>
  <c r="H76" i="325"/>
  <c r="I76" i="325"/>
  <c r="J76" i="325"/>
  <c r="H21" i="268"/>
  <c r="O2" i="317"/>
  <c r="D2" i="268"/>
  <c r="C2" i="180"/>
  <c r="D2" i="178"/>
  <c r="A53" i="172"/>
  <c r="A104" i="172"/>
  <c r="E13" i="174"/>
  <c r="E142" i="330"/>
  <c r="C40" i="272"/>
  <c r="F47" i="334"/>
  <c r="K86" i="268"/>
  <c r="I7" i="325"/>
  <c r="J7" i="325"/>
  <c r="J38" i="270"/>
  <c r="E49" i="269"/>
  <c r="C43" i="178"/>
  <c r="C54" i="178"/>
  <c r="H76" i="326"/>
  <c r="I76" i="326"/>
  <c r="J76" i="326"/>
  <c r="I7" i="326"/>
  <c r="J7" i="326"/>
  <c r="E343" i="324"/>
  <c r="D343" i="324"/>
  <c r="C49" i="241"/>
  <c r="E105" i="318"/>
  <c r="A1" i="326"/>
  <c r="A1" i="175"/>
  <c r="F9" i="180"/>
  <c r="J8" i="180"/>
  <c r="B30" i="172"/>
  <c r="H8" i="180"/>
  <c r="I8" i="180"/>
  <c r="G45" i="181"/>
  <c r="I45" i="181"/>
  <c r="J45" i="181"/>
  <c r="I43" i="181"/>
  <c r="J43" i="181"/>
  <c r="A1" i="318"/>
  <c r="A1" i="242"/>
  <c r="G141" i="330"/>
  <c r="G104" i="318"/>
  <c r="I104" i="318"/>
  <c r="J104" i="318"/>
  <c r="E40" i="272"/>
  <c r="E2" i="174"/>
  <c r="D2" i="272"/>
  <c r="C2" i="175"/>
  <c r="D2" i="324"/>
  <c r="D2" i="177"/>
  <c r="D2" i="330"/>
  <c r="I31" i="183"/>
  <c r="J31" i="183"/>
  <c r="J16" i="183"/>
  <c r="D40" i="268"/>
  <c r="D86" i="326"/>
  <c r="K86" i="326"/>
  <c r="E40" i="268"/>
  <c r="F46" i="174"/>
  <c r="F8" i="174"/>
  <c r="J198" i="324"/>
  <c r="I26" i="268"/>
  <c r="J26" i="268"/>
  <c r="G74" i="268"/>
  <c r="I74" i="268"/>
  <c r="J74" i="268"/>
  <c r="D13" i="174"/>
  <c r="D43" i="178"/>
  <c r="D54" i="178"/>
  <c r="D46" i="174"/>
  <c r="D8" i="174"/>
  <c r="C86" i="268"/>
  <c r="E26" i="174"/>
  <c r="E28" i="174"/>
  <c r="F32" i="267"/>
  <c r="I73" i="268"/>
  <c r="J73" i="268"/>
  <c r="F43" i="178"/>
  <c r="F54" i="178"/>
  <c r="I106" i="318"/>
  <c r="J106" i="318"/>
  <c r="C50" i="241"/>
  <c r="G72" i="330"/>
  <c r="K142" i="330"/>
  <c r="K49" i="241"/>
  <c r="K26" i="241"/>
  <c r="F72" i="330"/>
  <c r="I39" i="182"/>
  <c r="J39" i="182"/>
  <c r="H7" i="180"/>
  <c r="I7" i="180"/>
  <c r="J7" i="180"/>
  <c r="B29" i="172"/>
  <c r="I53" i="330"/>
  <c r="J53" i="330"/>
  <c r="H71" i="270"/>
  <c r="D57" i="317"/>
  <c r="E56" i="317"/>
  <c r="E57" i="317"/>
  <c r="F56" i="317"/>
  <c r="F57" i="317"/>
  <c r="G56" i="317"/>
  <c r="G57" i="317"/>
  <c r="H56" i="317"/>
  <c r="H57" i="317"/>
  <c r="I56" i="317"/>
  <c r="I57" i="317"/>
  <c r="J56" i="317"/>
  <c r="J57" i="317"/>
  <c r="K56" i="317"/>
  <c r="K57" i="317"/>
  <c r="L56" i="317"/>
  <c r="L57" i="317"/>
  <c r="M56" i="317"/>
  <c r="J8" i="269"/>
  <c r="I28" i="268"/>
  <c r="J220" i="324"/>
  <c r="F141" i="330"/>
  <c r="F26" i="241"/>
  <c r="H72" i="330"/>
  <c r="A1" i="180"/>
  <c r="F49" i="241"/>
  <c r="E50" i="241"/>
  <c r="C32" i="172"/>
  <c r="G11" i="180"/>
  <c r="F49" i="334"/>
  <c r="G49" i="334"/>
  <c r="G47" i="334"/>
  <c r="H76" i="333"/>
  <c r="I76" i="333"/>
  <c r="J76" i="333"/>
  <c r="J7" i="268"/>
  <c r="I21" i="268"/>
  <c r="D86" i="268"/>
  <c r="D86" i="242"/>
  <c r="C28" i="267"/>
  <c r="E46" i="174"/>
  <c r="E8" i="174"/>
  <c r="I6" i="330"/>
  <c r="J6" i="330"/>
  <c r="D49" i="241"/>
  <c r="D26" i="241"/>
  <c r="D72" i="330"/>
  <c r="D142" i="330"/>
  <c r="D341" i="323"/>
  <c r="G20" i="267"/>
  <c r="A1" i="317"/>
  <c r="A1" i="238"/>
  <c r="E86" i="268"/>
  <c r="E86" i="242"/>
  <c r="E86" i="326"/>
  <c r="F10" i="180"/>
  <c r="J9" i="180"/>
  <c r="B31" i="172"/>
  <c r="H9" i="180"/>
  <c r="I9" i="180"/>
  <c r="D28" i="267"/>
  <c r="H32" i="267"/>
  <c r="I32" i="267"/>
  <c r="K50" i="241"/>
  <c r="F142" i="330"/>
  <c r="J28" i="268"/>
  <c r="F50" i="241"/>
  <c r="G12" i="180"/>
  <c r="C33" i="172"/>
  <c r="J21" i="268"/>
  <c r="D50" i="241"/>
  <c r="G23" i="267"/>
  <c r="G25" i="267"/>
  <c r="H25" i="267"/>
  <c r="I25" i="267"/>
  <c r="F11" i="180"/>
  <c r="F12" i="180"/>
  <c r="H10" i="180"/>
  <c r="I10" i="180"/>
  <c r="B32" i="172"/>
  <c r="J10" i="180"/>
  <c r="C34" i="172"/>
  <c r="G13" i="180"/>
  <c r="B34" i="172"/>
  <c r="F13" i="180"/>
  <c r="F14" i="180"/>
  <c r="J12" i="180"/>
  <c r="H12" i="180"/>
  <c r="I12" i="180"/>
  <c r="B33" i="172"/>
  <c r="H11" i="180"/>
  <c r="I11" i="180"/>
  <c r="J11" i="180"/>
  <c r="C35" i="172"/>
  <c r="G14" i="180"/>
  <c r="B36" i="172"/>
  <c r="H14" i="180"/>
  <c r="I14" i="180"/>
  <c r="J14" i="180"/>
  <c r="B35" i="172"/>
  <c r="J13" i="180"/>
  <c r="H13" i="180"/>
  <c r="I13" i="180"/>
  <c r="C36" i="172"/>
  <c r="G15" i="180"/>
  <c r="C37" i="172"/>
  <c r="G16" i="180"/>
  <c r="G17" i="180"/>
  <c r="C39" i="172"/>
  <c r="C38" i="172"/>
  <c r="I213" i="324"/>
  <c r="J213" i="324"/>
  <c r="H209" i="324"/>
  <c r="H341" i="324"/>
  <c r="H343" i="324"/>
  <c r="H27" i="268"/>
  <c r="H39" i="268"/>
  <c r="H40" i="268"/>
  <c r="H86" i="242"/>
  <c r="H86" i="326"/>
  <c r="G28" i="267"/>
  <c r="H86" i="268"/>
  <c r="K20" i="175"/>
  <c r="C81" i="172"/>
  <c r="B81" i="172"/>
  <c r="C21" i="175"/>
  <c r="C26" i="175"/>
  <c r="C27" i="175"/>
  <c r="K21" i="175"/>
  <c r="K26" i="175"/>
  <c r="K27" i="175"/>
  <c r="I209" i="324"/>
  <c r="E28" i="267"/>
  <c r="F86" i="268"/>
  <c r="G39" i="268"/>
  <c r="G40" i="268"/>
  <c r="F28" i="267"/>
  <c r="H28" i="267"/>
  <c r="I28" i="267"/>
  <c r="J25" i="268"/>
  <c r="J187" i="324"/>
  <c r="G341" i="324"/>
  <c r="G27" i="174"/>
  <c r="G17" i="174"/>
  <c r="G26" i="174"/>
  <c r="G28" i="174"/>
  <c r="E20" i="267"/>
  <c r="E23" i="267"/>
  <c r="E25" i="267"/>
  <c r="F39" i="182"/>
  <c r="F43" i="182"/>
  <c r="F45" i="182"/>
  <c r="F47" i="182"/>
  <c r="F49" i="182"/>
  <c r="H19" i="267"/>
  <c r="I19" i="267"/>
  <c r="F20" i="267"/>
  <c r="I185" i="323"/>
  <c r="J185" i="323"/>
  <c r="I25" i="272"/>
  <c r="I10" i="272"/>
  <c r="J10" i="272"/>
  <c r="H171" i="323"/>
  <c r="I28" i="323"/>
  <c r="J28" i="323"/>
  <c r="F171" i="323"/>
  <c r="F341" i="323"/>
  <c r="I207" i="323"/>
  <c r="J207" i="323"/>
  <c r="G339" i="323"/>
  <c r="F39" i="272"/>
  <c r="I17" i="323"/>
  <c r="J17" i="323"/>
  <c r="G171" i="323"/>
  <c r="J25" i="272"/>
  <c r="F21" i="272"/>
  <c r="I27" i="268"/>
  <c r="J209" i="324"/>
  <c r="G46" i="174"/>
  <c r="G8" i="174"/>
  <c r="G86" i="326"/>
  <c r="G86" i="242"/>
  <c r="G86" i="268"/>
  <c r="I341" i="324"/>
  <c r="J341" i="324"/>
  <c r="G343" i="324"/>
  <c r="I343" i="324"/>
  <c r="J343" i="324"/>
  <c r="F23" i="267"/>
  <c r="H20" i="267"/>
  <c r="I20" i="267"/>
  <c r="F40" i="272"/>
  <c r="J27" i="268"/>
  <c r="I39" i="268"/>
  <c r="F25" i="267"/>
  <c r="H23" i="267"/>
  <c r="I23" i="267"/>
  <c r="I40" i="268"/>
  <c r="J40" i="268"/>
  <c r="J39" i="268"/>
  <c r="F39" i="177"/>
  <c r="G10" i="174"/>
  <c r="G52" i="174"/>
  <c r="G13" i="174"/>
  <c r="I63" i="268"/>
  <c r="J63" i="268"/>
  <c r="J43" i="268"/>
  <c r="H29" i="267"/>
  <c r="I29" i="267"/>
  <c r="F33" i="267"/>
  <c r="H33" i="267"/>
  <c r="I33" i="267"/>
  <c r="I9" i="177"/>
  <c r="J9" i="177"/>
  <c r="G18" i="177"/>
  <c r="F43" i="267"/>
  <c r="H43" i="267"/>
  <c r="I43" i="267"/>
  <c r="C86" i="326"/>
  <c r="C86" i="242"/>
  <c r="F86" i="326"/>
  <c r="F86" i="242"/>
  <c r="N47" i="317"/>
  <c r="N53" i="317"/>
  <c r="N66" i="317"/>
  <c r="N55" i="317"/>
  <c r="M55" i="317"/>
  <c r="N67" i="317"/>
  <c r="M67" i="317"/>
  <c r="M57" i="317"/>
  <c r="N56" i="317"/>
  <c r="N57" i="317"/>
  <c r="H49" i="269"/>
  <c r="J22" i="269"/>
  <c r="I28" i="269"/>
  <c r="J28" i="269"/>
  <c r="F49" i="269"/>
  <c r="I49" i="269"/>
  <c r="J49" i="269"/>
  <c r="I41" i="270"/>
  <c r="G39" i="177"/>
  <c r="G41" i="177"/>
  <c r="F46" i="267"/>
  <c r="H46" i="267"/>
  <c r="I46" i="267"/>
  <c r="I18" i="177"/>
  <c r="J18" i="177"/>
  <c r="G142" i="330"/>
  <c r="I47" i="241"/>
  <c r="J47" i="241"/>
  <c r="I27" i="272"/>
  <c r="J27" i="272"/>
  <c r="G39" i="272"/>
  <c r="I72" i="330"/>
  <c r="J72" i="330"/>
  <c r="H26" i="272"/>
  <c r="I196" i="323"/>
  <c r="J196" i="323"/>
  <c r="H339" i="323"/>
  <c r="I339" i="323"/>
  <c r="J339" i="323"/>
  <c r="H142" i="330"/>
  <c r="I26" i="272"/>
  <c r="H39" i="272"/>
  <c r="H21" i="272"/>
  <c r="I8" i="272"/>
  <c r="J8" i="272"/>
  <c r="I171" i="323"/>
  <c r="J171" i="323"/>
  <c r="G21" i="272"/>
  <c r="I7" i="272"/>
  <c r="G341" i="323"/>
  <c r="G6" i="241"/>
  <c r="I9" i="241"/>
  <c r="J9" i="241"/>
  <c r="G49" i="241"/>
  <c r="I142" i="330"/>
  <c r="J142" i="330"/>
  <c r="I41" i="241"/>
  <c r="J41" i="241"/>
  <c r="H43" i="241"/>
  <c r="I44" i="241"/>
  <c r="I123" i="330"/>
  <c r="H39" i="241"/>
  <c r="I39" i="241"/>
  <c r="J39" i="241"/>
  <c r="I40" i="241"/>
  <c r="J40" i="241"/>
  <c r="J85" i="330"/>
  <c r="I30" i="241"/>
  <c r="J30" i="241"/>
  <c r="H29" i="241"/>
  <c r="I22" i="241"/>
  <c r="J22" i="241"/>
  <c r="H20" i="241"/>
  <c r="J21" i="241"/>
  <c r="I20" i="241"/>
  <c r="J20" i="241"/>
  <c r="H16" i="241"/>
  <c r="I17" i="241"/>
  <c r="J17" i="241"/>
  <c r="A1" i="334"/>
  <c r="A1" i="181"/>
  <c r="A1" i="183"/>
  <c r="A1" i="173"/>
  <c r="A1" i="270"/>
  <c r="A1" i="269"/>
  <c r="J41" i="270"/>
  <c r="I69" i="270"/>
  <c r="G40" i="272"/>
  <c r="H341" i="323"/>
  <c r="I341" i="323"/>
  <c r="J341" i="323"/>
  <c r="H40" i="272"/>
  <c r="J26" i="272"/>
  <c r="I39" i="272"/>
  <c r="J39" i="272"/>
  <c r="J7" i="272"/>
  <c r="I21" i="272"/>
  <c r="I6" i="241"/>
  <c r="J6" i="241"/>
  <c r="G26" i="241"/>
  <c r="G50" i="241"/>
  <c r="I43" i="241"/>
  <c r="J43" i="241"/>
  <c r="J44" i="241"/>
  <c r="I122" i="330"/>
  <c r="J123" i="330"/>
  <c r="I29" i="241"/>
  <c r="H49" i="241"/>
  <c r="I16" i="241"/>
  <c r="H26" i="241"/>
  <c r="I71" i="270"/>
  <c r="J71" i="270"/>
  <c r="J69" i="270"/>
  <c r="J21" i="272"/>
  <c r="I40" i="272"/>
  <c r="J40" i="272"/>
  <c r="J122" i="330"/>
  <c r="I141" i="330"/>
  <c r="J141" i="330"/>
  <c r="H50" i="241"/>
  <c r="J29" i="241"/>
  <c r="I49" i="241"/>
  <c r="J49" i="241"/>
  <c r="J16" i="241"/>
  <c r="I26" i="241"/>
  <c r="I50" i="241"/>
  <c r="J50" i="241"/>
  <c r="J26" i="241"/>
</calcChain>
</file>

<file path=xl/sharedStrings.xml><?xml version="1.0" encoding="utf-8"?>
<sst xmlns="http://schemas.openxmlformats.org/spreadsheetml/2006/main" count="2312" uniqueCount="1374">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</sst>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80" formatCode="_ * #,##0_ ;_ * \-#,##0_ ;_ * &quot;-&quot;??_ ;_ @_ "/>
    <numFmt numFmtId="181" formatCode="_ * #,##0.0_ ;_ * \-#,##0.0_ ;_ * &quot;-&quot;??_ ;_ @_ "/>
    <numFmt numFmtId="182" formatCode="#,###,;[Red]\(#,###,\)"/>
    <numFmt numFmtId="183" formatCode="0.0%"/>
    <numFmt numFmtId="184" formatCode="#,###,;\(#,###,\)"/>
    <numFmt numFmtId="185" formatCode="#,###,,;\(#,###,,\)"/>
    <numFmt numFmtId="186" formatCode="_(* #,##0,,_);_(* \(#,##0,,\);_(* &quot;–&quot;?_);_(@_)"/>
    <numFmt numFmtId="187" formatCode="_(* #,##0,_);_(* \(#,##0,\);_(* &quot;–&quot;?_);_(@_)"/>
    <numFmt numFmtId="188" formatCode="0%;\-0%;_(* &quot;–&quot;?_);_(@_)"/>
    <numFmt numFmtId="189" formatCode="m/d/yy;@"/>
    <numFmt numFmtId="190" formatCode="0000"/>
  </numFmts>
  <fonts count="7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46" fillId="3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6" fillId="3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46" fillId="3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6" fillId="3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46" fillId="3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6" fillId="3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6" fillId="3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6" fillId="3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46" fillId="4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6" fillId="4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6" fillId="4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46" fillId="4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47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47" fillId="4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47" fillId="4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7" fillId="4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7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47" fillId="4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7" fillId="5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7" fillId="5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7" fillId="5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7" fillId="5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7" fillId="5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7" fillId="55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8" fillId="56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49" fillId="57" borderId="95" applyNumberFormat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0" fontId="50" fillId="58" borderId="9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53" fillId="59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54" fillId="0" borderId="97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55" fillId="0" borderId="98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56" fillId="0" borderId="9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7" fillId="7" borderId="1" applyNumberFormat="0" applyAlignment="0" applyProtection="0"/>
    <xf numFmtId="0" fontId="59" fillId="60" borderId="95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60" fillId="0" borderId="100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61" fillId="61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46" fillId="62" borderId="101" applyNumberFormat="0" applyFont="0" applyAlignment="0" applyProtection="0"/>
    <xf numFmtId="0" fontId="30" fillId="20" borderId="8" applyNumberFormat="0" applyAlignment="0" applyProtection="0"/>
    <xf numFmtId="0" fontId="30" fillId="20" borderId="8" applyNumberFormat="0" applyAlignment="0" applyProtection="0"/>
    <xf numFmtId="0" fontId="62" fillId="57" borderId="102" applyNumberFormat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64" fillId="0" borderId="10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035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6" fontId="6" fillId="0" borderId="22" xfId="0" applyNumberFormat="1" applyFont="1" applyBorder="1"/>
    <xf numFmtId="186" fontId="6" fillId="0" borderId="23" xfId="0" applyNumberFormat="1" applyFont="1" applyBorder="1"/>
    <xf numFmtId="0" fontId="6" fillId="0" borderId="17" xfId="0" applyFont="1" applyBorder="1"/>
    <xf numFmtId="186" fontId="6" fillId="0" borderId="24" xfId="0" applyNumberFormat="1" applyFont="1" applyBorder="1"/>
    <xf numFmtId="0" fontId="10" fillId="0" borderId="0" xfId="0" applyFont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9" fillId="0" borderId="11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184" fontId="6" fillId="0" borderId="10" xfId="0" applyNumberFormat="1" applyFont="1" applyBorder="1"/>
    <xf numFmtId="0" fontId="7" fillId="0" borderId="11" xfId="0" applyFont="1" applyBorder="1" applyAlignment="1">
      <alignment horizontal="left"/>
    </xf>
    <xf numFmtId="0" fontId="6" fillId="0" borderId="11" xfId="0" applyFont="1" applyBorder="1"/>
    <xf numFmtId="187" fontId="6" fillId="0" borderId="0" xfId="0" applyNumberFormat="1" applyFont="1" applyBorder="1"/>
    <xf numFmtId="187" fontId="6" fillId="0" borderId="22" xfId="0" applyNumberFormat="1" applyFont="1" applyBorder="1"/>
    <xf numFmtId="187" fontId="6" fillId="0" borderId="13" xfId="0" applyNumberFormat="1" applyFont="1" applyBorder="1"/>
    <xf numFmtId="187" fontId="6" fillId="0" borderId="26" xfId="0" applyNumberFormat="1" applyFont="1" applyBorder="1"/>
    <xf numFmtId="187" fontId="6" fillId="0" borderId="22" xfId="0" applyNumberFormat="1" applyFont="1" applyFill="1" applyBorder="1"/>
    <xf numFmtId="184" fontId="6" fillId="0" borderId="13" xfId="0" applyNumberFormat="1" applyFont="1" applyFill="1" applyBorder="1"/>
    <xf numFmtId="187" fontId="7" fillId="0" borderId="0" xfId="0" applyNumberFormat="1" applyFont="1" applyBorder="1"/>
    <xf numFmtId="187" fontId="7" fillId="0" borderId="22" xfId="0" applyNumberFormat="1" applyFont="1" applyBorder="1"/>
    <xf numFmtId="187" fontId="7" fillId="0" borderId="26" xfId="0" applyNumberFormat="1" applyFont="1" applyBorder="1"/>
    <xf numFmtId="184" fontId="7" fillId="0" borderId="10" xfId="0" applyNumberFormat="1" applyFont="1" applyBorder="1"/>
    <xf numFmtId="0" fontId="7" fillId="0" borderId="27" xfId="0" applyFont="1" applyBorder="1"/>
    <xf numFmtId="187" fontId="7" fillId="0" borderId="28" xfId="0" applyNumberFormat="1" applyFont="1" applyBorder="1"/>
    <xf numFmtId="187" fontId="7" fillId="0" borderId="29" xfId="0" applyNumberFormat="1" applyFont="1" applyBorder="1"/>
    <xf numFmtId="187" fontId="7" fillId="0" borderId="30" xfId="0" applyNumberFormat="1" applyFont="1" applyBorder="1"/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184" fontId="7" fillId="0" borderId="0" xfId="0" applyNumberFormat="1" applyFont="1" applyFill="1" applyBorder="1"/>
    <xf numFmtId="0" fontId="10" fillId="0" borderId="0" xfId="0" quotePrefix="1" applyFont="1" applyBorder="1"/>
    <xf numFmtId="0" fontId="7" fillId="0" borderId="0" xfId="0" applyFont="1" applyBorder="1"/>
    <xf numFmtId="184" fontId="7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80" fontId="6" fillId="0" borderId="0" xfId="82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80" fontId="6" fillId="0" borderId="0" xfId="82" applyNumberFormat="1" applyFont="1" applyAlignment="1">
      <alignment horizontal="center"/>
    </xf>
    <xf numFmtId="183" fontId="6" fillId="0" borderId="0" xfId="127" applyNumberFormat="1" applyFont="1" applyAlignment="1">
      <alignment horizontal="center"/>
    </xf>
    <xf numFmtId="180" fontId="6" fillId="0" borderId="0" xfId="0" applyNumberFormat="1" applyFont="1"/>
    <xf numFmtId="183" fontId="6" fillId="0" borderId="0" xfId="0" applyNumberFormat="1" applyFont="1"/>
    <xf numFmtId="187" fontId="7" fillId="0" borderId="31" xfId="0" applyNumberFormat="1" applyFont="1" applyBorder="1"/>
    <xf numFmtId="187" fontId="7" fillId="0" borderId="32" xfId="0" applyNumberFormat="1" applyFont="1" applyBorder="1"/>
    <xf numFmtId="183" fontId="6" fillId="0" borderId="0" xfId="0" applyNumberFormat="1" applyFont="1" applyAlignment="1">
      <alignment horizontal="center"/>
    </xf>
    <xf numFmtId="187" fontId="7" fillId="0" borderId="24" xfId="0" applyNumberFormat="1" applyFont="1" applyBorder="1"/>
    <xf numFmtId="187" fontId="7" fillId="0" borderId="33" xfId="0" applyNumberFormat="1" applyFont="1" applyBorder="1"/>
    <xf numFmtId="0" fontId="11" fillId="0" borderId="0" xfId="0" applyFont="1" applyBorder="1" applyAlignment="1">
      <alignment horizontal="left"/>
    </xf>
    <xf numFmtId="184" fontId="8" fillId="0" borderId="0" xfId="0" applyNumberFormat="1" applyFont="1" applyBorder="1"/>
    <xf numFmtId="0" fontId="10" fillId="0" borderId="0" xfId="0" applyFont="1" applyBorder="1"/>
    <xf numFmtId="0" fontId="10" fillId="0" borderId="11" xfId="0" applyFont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187" fontId="7" fillId="0" borderId="34" xfId="0" applyNumberFormat="1" applyFont="1" applyBorder="1"/>
    <xf numFmtId="184" fontId="6" fillId="0" borderId="0" xfId="0" applyNumberFormat="1" applyFont="1" applyBorder="1"/>
    <xf numFmtId="184" fontId="6" fillId="0" borderId="0" xfId="0" applyNumberFormat="1" applyFont="1"/>
    <xf numFmtId="0" fontId="6" fillId="0" borderId="11" xfId="0" applyFont="1" applyFill="1" applyBorder="1" applyAlignment="1">
      <alignment horizontal="left" indent="1"/>
    </xf>
    <xf numFmtId="0" fontId="7" fillId="0" borderId="11" xfId="0" applyFont="1" applyBorder="1"/>
    <xf numFmtId="0" fontId="7" fillId="0" borderId="11" xfId="0" applyFont="1" applyFill="1" applyBorder="1"/>
    <xf numFmtId="0" fontId="10" fillId="0" borderId="11" xfId="0" applyFont="1" applyBorder="1"/>
    <xf numFmtId="182" fontId="7" fillId="0" borderId="0" xfId="0" applyNumberFormat="1" applyFont="1" applyBorder="1"/>
    <xf numFmtId="0" fontId="6" fillId="0" borderId="16" xfId="0" applyFont="1" applyBorder="1"/>
    <xf numFmtId="0" fontId="7" fillId="0" borderId="35" xfId="0" applyFont="1" applyBorder="1"/>
    <xf numFmtId="43" fontId="6" fillId="0" borderId="0" xfId="82" applyFont="1" applyBorder="1"/>
    <xf numFmtId="0" fontId="7" fillId="0" borderId="16" xfId="0" applyFont="1" applyBorder="1"/>
    <xf numFmtId="0" fontId="11" fillId="0" borderId="0" xfId="0" applyFont="1"/>
    <xf numFmtId="0" fontId="6" fillId="0" borderId="0" xfId="0" applyFont="1" applyFill="1" applyBorder="1"/>
    <xf numFmtId="184" fontId="6" fillId="0" borderId="0" xfId="0" applyNumberFormat="1" applyFont="1" applyFill="1" applyBorder="1"/>
    <xf numFmtId="9" fontId="6" fillId="0" borderId="0" xfId="127" applyFont="1"/>
    <xf numFmtId="187" fontId="6" fillId="0" borderId="36" xfId="0" applyNumberFormat="1" applyFont="1" applyBorder="1"/>
    <xf numFmtId="0" fontId="6" fillId="0" borderId="0" xfId="0" applyFont="1" applyFill="1"/>
    <xf numFmtId="187" fontId="6" fillId="0" borderId="36" xfId="0" applyNumberFormat="1" applyFont="1" applyFill="1" applyBorder="1"/>
    <xf numFmtId="187" fontId="7" fillId="0" borderId="22" xfId="0" applyNumberFormat="1" applyFont="1" applyFill="1" applyBorder="1"/>
    <xf numFmtId="184" fontId="6" fillId="0" borderId="22" xfId="0" applyNumberFormat="1" applyFont="1" applyBorder="1"/>
    <xf numFmtId="184" fontId="6" fillId="0" borderId="26" xfId="0" applyNumberFormat="1" applyFont="1" applyBorder="1"/>
    <xf numFmtId="0" fontId="6" fillId="0" borderId="11" xfId="0" applyFont="1" applyFill="1" applyBorder="1"/>
    <xf numFmtId="0" fontId="7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2"/>
    </xf>
    <xf numFmtId="187" fontId="6" fillId="0" borderId="37" xfId="0" applyNumberFormat="1" applyFont="1" applyBorder="1"/>
    <xf numFmtId="187" fontId="7" fillId="0" borderId="10" xfId="0" applyNumberFormat="1" applyFont="1" applyBorder="1"/>
    <xf numFmtId="187" fontId="7" fillId="0" borderId="37" xfId="0" applyNumberFormat="1" applyFont="1" applyBorder="1"/>
    <xf numFmtId="0" fontId="6" fillId="0" borderId="11" xfId="0" applyFont="1" applyBorder="1" applyAlignment="1">
      <alignment horizontal="left" wrapText="1" indent="1"/>
    </xf>
    <xf numFmtId="187" fontId="7" fillId="0" borderId="38" xfId="0" applyNumberFormat="1" applyFont="1" applyBorder="1"/>
    <xf numFmtId="0" fontId="7" fillId="0" borderId="27" xfId="0" applyFont="1" applyFill="1" applyBorder="1"/>
    <xf numFmtId="0" fontId="6" fillId="0" borderId="0" xfId="0" applyFont="1" applyFill="1" applyBorder="1" applyAlignment="1">
      <alignment horizontal="center"/>
    </xf>
    <xf numFmtId="187" fontId="6" fillId="0" borderId="24" xfId="0" applyNumberFormat="1" applyFont="1" applyBorder="1"/>
    <xf numFmtId="187" fontId="6" fillId="0" borderId="33" xfId="0" applyNumberFormat="1" applyFont="1" applyBorder="1"/>
    <xf numFmtId="184" fontId="6" fillId="0" borderId="0" xfId="82" applyNumberFormat="1" applyFont="1" applyBorder="1"/>
    <xf numFmtId="180" fontId="6" fillId="0" borderId="0" xfId="82" applyNumberFormat="1" applyFont="1" applyBorder="1"/>
    <xf numFmtId="0" fontId="6" fillId="0" borderId="19" xfId="0" applyFont="1" applyBorder="1" applyAlignment="1">
      <alignment horizontal="center"/>
    </xf>
    <xf numFmtId="183" fontId="6" fillId="0" borderId="10" xfId="127" applyNumberFormat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15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183" fontId="6" fillId="0" borderId="22" xfId="127" applyNumberFormat="1" applyFont="1" applyFill="1" applyBorder="1" applyAlignment="1">
      <alignment horizontal="center" vertical="top" wrapText="1"/>
    </xf>
    <xf numFmtId="183" fontId="6" fillId="0" borderId="0" xfId="127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indent="1"/>
    </xf>
    <xf numFmtId="0" fontId="6" fillId="0" borderId="3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9" fontId="6" fillId="0" borderId="24" xfId="127" applyFont="1" applyBorder="1" applyAlignment="1">
      <alignment horizontal="center"/>
    </xf>
    <xf numFmtId="187" fontId="6" fillId="0" borderId="10" xfId="0" applyNumberFormat="1" applyFont="1" applyBorder="1"/>
    <xf numFmtId="180" fontId="6" fillId="0" borderId="0" xfId="82" applyNumberFormat="1" applyFont="1" applyFill="1" applyBorder="1"/>
    <xf numFmtId="0" fontId="9" fillId="0" borderId="40" xfId="0" applyFont="1" applyBorder="1"/>
    <xf numFmtId="0" fontId="7" fillId="0" borderId="41" xfId="0" applyFont="1" applyFill="1" applyBorder="1" applyAlignment="1">
      <alignment horizontal="centerContinuous" vertical="center" wrapText="1"/>
    </xf>
    <xf numFmtId="0" fontId="7" fillId="0" borderId="20" xfId="0" applyFont="1" applyFill="1" applyBorder="1" applyAlignment="1">
      <alignment horizontal="centerContinuous" vertical="center" wrapText="1"/>
    </xf>
    <xf numFmtId="0" fontId="7" fillId="0" borderId="42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87" fontId="6" fillId="0" borderId="46" xfId="0" applyNumberFormat="1" applyFont="1" applyBorder="1"/>
    <xf numFmtId="187" fontId="7" fillId="0" borderId="47" xfId="0" applyNumberFormat="1" applyFont="1" applyBorder="1"/>
    <xf numFmtId="9" fontId="7" fillId="0" borderId="22" xfId="127" applyFont="1" applyBorder="1" applyAlignment="1">
      <alignment horizontal="center"/>
    </xf>
    <xf numFmtId="9" fontId="7" fillId="0" borderId="0" xfId="127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39" xfId="0" applyNumberFormat="1" applyFont="1" applyBorder="1"/>
    <xf numFmtId="0" fontId="6" fillId="0" borderId="10" xfId="0" applyNumberFormat="1" applyFont="1" applyBorder="1" applyAlignment="1">
      <alignment horizontal="left" indent="1"/>
    </xf>
    <xf numFmtId="0" fontId="7" fillId="0" borderId="10" xfId="0" applyNumberFormat="1" applyFont="1" applyBorder="1"/>
    <xf numFmtId="0" fontId="6" fillId="0" borderId="19" xfId="0" applyNumberFormat="1" applyFont="1" applyBorder="1"/>
    <xf numFmtId="0" fontId="9" fillId="0" borderId="10" xfId="0" applyNumberFormat="1" applyFont="1" applyBorder="1"/>
    <xf numFmtId="185" fontId="6" fillId="0" borderId="0" xfId="0" applyNumberFormat="1" applyFont="1"/>
    <xf numFmtId="0" fontId="6" fillId="0" borderId="19" xfId="0" applyFont="1" applyBorder="1"/>
    <xf numFmtId="0" fontId="7" fillId="0" borderId="4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87" fontId="6" fillId="0" borderId="38" xfId="0" applyNumberFormat="1" applyFont="1" applyBorder="1"/>
    <xf numFmtId="187" fontId="6" fillId="0" borderId="31" xfId="0" applyNumberFormat="1" applyFont="1" applyBorder="1"/>
    <xf numFmtId="0" fontId="5" fillId="0" borderId="0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9" fontId="7" fillId="0" borderId="10" xfId="127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184" fontId="6" fillId="0" borderId="19" xfId="0" applyNumberFormat="1" applyFont="1" applyBorder="1"/>
    <xf numFmtId="0" fontId="6" fillId="0" borderId="19" xfId="0" applyFont="1" applyFill="1" applyBorder="1"/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/>
    <xf numFmtId="0" fontId="9" fillId="0" borderId="39" xfId="0" applyFont="1" applyBorder="1"/>
    <xf numFmtId="184" fontId="7" fillId="0" borderId="10" xfId="0" applyNumberFormat="1" applyFont="1" applyFill="1" applyBorder="1"/>
    <xf numFmtId="0" fontId="9" fillId="0" borderId="15" xfId="0" applyFont="1" applyBorder="1"/>
    <xf numFmtId="0" fontId="6" fillId="0" borderId="0" xfId="0" applyFont="1" applyBorder="1" applyAlignment="1">
      <alignment horizontal="left"/>
    </xf>
    <xf numFmtId="0" fontId="6" fillId="0" borderId="13" xfId="0" applyFont="1" applyBorder="1"/>
    <xf numFmtId="0" fontId="6" fillId="0" borderId="11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 wrapText="1"/>
    </xf>
    <xf numFmtId="187" fontId="6" fillId="0" borderId="50" xfId="0" applyNumberFormat="1" applyFont="1" applyBorder="1"/>
    <xf numFmtId="0" fontId="6" fillId="0" borderId="26" xfId="0" applyFont="1" applyFill="1" applyBorder="1"/>
    <xf numFmtId="0" fontId="6" fillId="0" borderId="22" xfId="0" applyFont="1" applyFill="1" applyBorder="1"/>
    <xf numFmtId="0" fontId="6" fillId="0" borderId="46" xfId="0" applyFont="1" applyFill="1" applyBorder="1"/>
    <xf numFmtId="187" fontId="7" fillId="0" borderId="46" xfId="0" applyNumberFormat="1" applyFont="1" applyBorder="1"/>
    <xf numFmtId="187" fontId="6" fillId="0" borderId="51" xfId="0" applyNumberFormat="1" applyFont="1" applyBorder="1"/>
    <xf numFmtId="186" fontId="6" fillId="0" borderId="26" xfId="0" applyNumberFormat="1" applyFont="1" applyBorder="1"/>
    <xf numFmtId="186" fontId="6" fillId="0" borderId="10" xfId="0" applyNumberFormat="1" applyFont="1" applyBorder="1"/>
    <xf numFmtId="185" fontId="6" fillId="0" borderId="19" xfId="0" applyNumberFormat="1" applyFont="1" applyFill="1" applyBorder="1"/>
    <xf numFmtId="0" fontId="7" fillId="0" borderId="52" xfId="0" applyFont="1" applyFill="1" applyBorder="1" applyAlignment="1">
      <alignment horizontal="center" vertical="center" wrapText="1"/>
    </xf>
    <xf numFmtId="9" fontId="6" fillId="0" borderId="22" xfId="127" applyFont="1" applyFill="1" applyBorder="1" applyAlignment="1">
      <alignment horizontal="center"/>
    </xf>
    <xf numFmtId="186" fontId="6" fillId="0" borderId="46" xfId="0" applyNumberFormat="1" applyFont="1" applyBorder="1"/>
    <xf numFmtId="185" fontId="6" fillId="0" borderId="33" xfId="0" applyNumberFormat="1" applyFont="1" applyFill="1" applyBorder="1"/>
    <xf numFmtId="185" fontId="6" fillId="0" borderId="24" xfId="0" applyNumberFormat="1" applyFont="1" applyFill="1" applyBorder="1"/>
    <xf numFmtId="185" fontId="6" fillId="0" borderId="50" xfId="0" applyNumberFormat="1" applyFont="1" applyFill="1" applyBorder="1"/>
    <xf numFmtId="9" fontId="7" fillId="0" borderId="43" xfId="127" applyFont="1" applyFill="1" applyBorder="1" applyAlignment="1">
      <alignment horizontal="center" vertical="center" wrapText="1"/>
    </xf>
    <xf numFmtId="188" fontId="7" fillId="0" borderId="22" xfId="127" applyNumberFormat="1" applyFont="1" applyBorder="1"/>
    <xf numFmtId="188" fontId="6" fillId="0" borderId="22" xfId="127" applyNumberFormat="1" applyFont="1" applyBorder="1"/>
    <xf numFmtId="188" fontId="6" fillId="0" borderId="36" xfId="127" applyNumberFormat="1" applyFont="1" applyBorder="1"/>
    <xf numFmtId="186" fontId="6" fillId="0" borderId="19" xfId="0" applyNumberFormat="1" applyFont="1" applyBorder="1"/>
    <xf numFmtId="186" fontId="6" fillId="0" borderId="33" xfId="0" applyNumberFormat="1" applyFont="1" applyBorder="1"/>
    <xf numFmtId="188" fontId="6" fillId="0" borderId="24" xfId="127" applyNumberFormat="1" applyFont="1" applyBorder="1"/>
    <xf numFmtId="186" fontId="6" fillId="0" borderId="50" xfId="0" applyNumberFormat="1" applyFont="1" applyBorder="1"/>
    <xf numFmtId="186" fontId="6" fillId="0" borderId="39" xfId="0" applyNumberFormat="1" applyFont="1" applyBorder="1"/>
    <xf numFmtId="186" fontId="6" fillId="0" borderId="25" xfId="0" applyNumberFormat="1" applyFont="1" applyBorder="1"/>
    <xf numFmtId="188" fontId="6" fillId="0" borderId="23" xfId="127" applyNumberFormat="1" applyFont="1" applyBorder="1"/>
    <xf numFmtId="186" fontId="6" fillId="0" borderId="53" xfId="0" applyNumberFormat="1" applyFont="1" applyBorder="1"/>
    <xf numFmtId="186" fontId="6" fillId="25" borderId="22" xfId="0" applyNumberFormat="1" applyFont="1" applyFill="1" applyBorder="1"/>
    <xf numFmtId="186" fontId="6" fillId="25" borderId="24" xfId="0" applyNumberFormat="1" applyFont="1" applyFill="1" applyBorder="1"/>
    <xf numFmtId="188" fontId="6" fillId="25" borderId="22" xfId="127" applyNumberFormat="1" applyFont="1" applyFill="1" applyBorder="1"/>
    <xf numFmtId="188" fontId="6" fillId="25" borderId="24" xfId="127" applyNumberFormat="1" applyFont="1" applyFill="1" applyBorder="1"/>
    <xf numFmtId="0" fontId="10" fillId="0" borderId="0" xfId="0" applyFont="1" applyFill="1"/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87" fontId="6" fillId="0" borderId="19" xfId="0" applyNumberFormat="1" applyFont="1" applyBorder="1"/>
    <xf numFmtId="0" fontId="7" fillId="0" borderId="53" xfId="0" applyFont="1" applyBorder="1" applyAlignment="1">
      <alignment horizontal="center"/>
    </xf>
    <xf numFmtId="9" fontId="7" fillId="0" borderId="22" xfId="127" applyFont="1" applyFill="1" applyBorder="1" applyAlignment="1">
      <alignment horizontal="center" vertical="center" wrapText="1"/>
    </xf>
    <xf numFmtId="0" fontId="6" fillId="0" borderId="26" xfId="0" applyFont="1" applyBorder="1"/>
    <xf numFmtId="0" fontId="7" fillId="0" borderId="21" xfId="0" applyFont="1" applyFill="1" applyBorder="1" applyAlignment="1">
      <alignment horizontal="centerContinuous" vertical="center" wrapText="1"/>
    </xf>
    <xf numFmtId="0" fontId="7" fillId="0" borderId="44" xfId="0" applyFont="1" applyFill="1" applyBorder="1" applyAlignment="1">
      <alignment horizontal="centerContinuous" vertical="center" wrapText="1"/>
    </xf>
    <xf numFmtId="0" fontId="7" fillId="0" borderId="48" xfId="0" applyFont="1" applyFill="1" applyBorder="1" applyAlignment="1">
      <alignment horizontal="centerContinuous" vertical="center" wrapText="1"/>
    </xf>
    <xf numFmtId="0" fontId="6" fillId="0" borderId="54" xfId="0" applyNumberFormat="1" applyFont="1" applyBorder="1" applyAlignment="1">
      <alignment horizontal="left" indent="1"/>
    </xf>
    <xf numFmtId="0" fontId="6" fillId="0" borderId="55" xfId="0" applyFont="1" applyBorder="1" applyAlignment="1">
      <alignment horizontal="center"/>
    </xf>
    <xf numFmtId="187" fontId="7" fillId="0" borderId="50" xfId="0" applyNumberFormat="1" applyFont="1" applyBorder="1"/>
    <xf numFmtId="187" fontId="7" fillId="0" borderId="56" xfId="0" applyNumberFormat="1" applyFont="1" applyBorder="1"/>
    <xf numFmtId="0" fontId="6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3" xfId="0" applyFont="1" applyBorder="1"/>
    <xf numFmtId="0" fontId="6" fillId="0" borderId="24" xfId="0" applyFont="1" applyBorder="1"/>
    <xf numFmtId="9" fontId="7" fillId="0" borderId="24" xfId="127" applyFont="1" applyFill="1" applyBorder="1" applyAlignment="1">
      <alignment horizontal="center" vertical="center"/>
    </xf>
    <xf numFmtId="187" fontId="7" fillId="0" borderId="55" xfId="0" applyNumberFormat="1" applyFont="1" applyBorder="1"/>
    <xf numFmtId="187" fontId="7" fillId="0" borderId="19" xfId="0" applyNumberFormat="1" applyFont="1" applyBorder="1"/>
    <xf numFmtId="0" fontId="7" fillId="0" borderId="57" xfId="0" applyFont="1" applyFill="1" applyBorder="1" applyAlignment="1">
      <alignment horizontal="centerContinuous" vertical="center" wrapText="1"/>
    </xf>
    <xf numFmtId="0" fontId="6" fillId="0" borderId="58" xfId="0" applyFont="1" applyBorder="1"/>
    <xf numFmtId="0" fontId="6" fillId="0" borderId="59" xfId="0" applyFont="1" applyBorder="1" applyAlignment="1">
      <alignment horizontal="left" indent="1"/>
    </xf>
    <xf numFmtId="0" fontId="6" fillId="0" borderId="54" xfId="0" applyFont="1" applyBorder="1" applyAlignment="1">
      <alignment horizontal="center"/>
    </xf>
    <xf numFmtId="187" fontId="6" fillId="0" borderId="54" xfId="0" applyNumberFormat="1" applyFont="1" applyBorder="1"/>
    <xf numFmtId="0" fontId="7" fillId="0" borderId="11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187" fontId="7" fillId="0" borderId="10" xfId="0" applyNumberFormat="1" applyFont="1" applyBorder="1" applyAlignment="1">
      <alignment vertical="top"/>
    </xf>
    <xf numFmtId="187" fontId="7" fillId="0" borderId="26" xfId="0" applyNumberFormat="1" applyFont="1" applyBorder="1" applyAlignment="1">
      <alignment vertical="top"/>
    </xf>
    <xf numFmtId="187" fontId="7" fillId="0" borderId="22" xfId="0" applyNumberFormat="1" applyFont="1" applyBorder="1" applyAlignment="1">
      <alignment vertical="top"/>
    </xf>
    <xf numFmtId="187" fontId="7" fillId="0" borderId="46" xfId="0" applyNumberFormat="1" applyFont="1" applyBorder="1" applyAlignment="1">
      <alignment vertical="top"/>
    </xf>
    <xf numFmtId="0" fontId="6" fillId="0" borderId="59" xfId="0" applyFont="1" applyBorder="1" applyAlignment="1">
      <alignment horizontal="left" wrapText="1" indent="1"/>
    </xf>
    <xf numFmtId="0" fontId="7" fillId="0" borderId="60" xfId="0" applyFont="1" applyFill="1" applyBorder="1" applyAlignment="1">
      <alignment horizontal="center" vertical="center" wrapText="1"/>
    </xf>
    <xf numFmtId="187" fontId="6" fillId="0" borderId="45" xfId="0" applyNumberFormat="1" applyFont="1" applyBorder="1"/>
    <xf numFmtId="187" fontId="7" fillId="0" borderId="45" xfId="0" applyNumberFormat="1" applyFont="1" applyBorder="1"/>
    <xf numFmtId="187" fontId="7" fillId="0" borderId="61" xfId="0" applyNumberFormat="1" applyFont="1" applyBorder="1"/>
    <xf numFmtId="187" fontId="6" fillId="0" borderId="55" xfId="0" applyNumberFormat="1" applyFont="1" applyBorder="1"/>
    <xf numFmtId="187" fontId="6" fillId="0" borderId="61" xfId="0" applyNumberFormat="1" applyFont="1" applyBorder="1"/>
    <xf numFmtId="187" fontId="6" fillId="0" borderId="47" xfId="0" applyNumberFormat="1" applyFont="1" applyBorder="1"/>
    <xf numFmtId="187" fontId="6" fillId="0" borderId="62" xfId="0" applyNumberFormat="1" applyFont="1" applyBorder="1"/>
    <xf numFmtId="187" fontId="7" fillId="0" borderId="58" xfId="0" applyNumberFormat="1" applyFont="1" applyBorder="1"/>
    <xf numFmtId="184" fontId="6" fillId="0" borderId="46" xfId="0" applyNumberFormat="1" applyFont="1" applyBorder="1"/>
    <xf numFmtId="0" fontId="7" fillId="0" borderId="63" xfId="0" applyFont="1" applyBorder="1" applyAlignment="1">
      <alignment horizontal="center"/>
    </xf>
    <xf numFmtId="184" fontId="6" fillId="0" borderId="45" xfId="0" applyNumberFormat="1" applyFont="1" applyBorder="1"/>
    <xf numFmtId="0" fontId="7" fillId="0" borderId="39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187" fontId="7" fillId="0" borderId="64" xfId="0" applyNumberFormat="1" applyFont="1" applyBorder="1"/>
    <xf numFmtId="0" fontId="7" fillId="0" borderId="15" xfId="0" applyFont="1" applyBorder="1"/>
    <xf numFmtId="187" fontId="6" fillId="25" borderId="22" xfId="0" applyNumberFormat="1" applyFont="1" applyFill="1" applyBorder="1"/>
    <xf numFmtId="187" fontId="6" fillId="25" borderId="24" xfId="0" applyNumberFormat="1" applyFont="1" applyFill="1" applyBorder="1"/>
    <xf numFmtId="0" fontId="7" fillId="0" borderId="65" xfId="0" applyFont="1" applyFill="1" applyBorder="1" applyAlignment="1">
      <alignment horizontal="centerContinuous" vertical="center" wrapText="1"/>
    </xf>
    <xf numFmtId="183" fontId="6" fillId="0" borderId="46" xfId="127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 indent="1"/>
    </xf>
    <xf numFmtId="9" fontId="6" fillId="0" borderId="63" xfId="0" applyNumberFormat="1" applyFont="1" applyBorder="1" applyAlignment="1">
      <alignment horizontal="center" vertical="top"/>
    </xf>
    <xf numFmtId="9" fontId="6" fillId="0" borderId="23" xfId="0" applyNumberFormat="1" applyFont="1" applyBorder="1" applyAlignment="1">
      <alignment horizontal="center" vertical="top"/>
    </xf>
    <xf numFmtId="9" fontId="6" fillId="0" borderId="53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83" fontId="6" fillId="0" borderId="45" xfId="127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38" xfId="0" applyFont="1" applyBorder="1" applyAlignment="1">
      <alignment horizontal="center"/>
    </xf>
    <xf numFmtId="0" fontId="6" fillId="0" borderId="46" xfId="0" applyFont="1" applyBorder="1"/>
    <xf numFmtId="0" fontId="6" fillId="0" borderId="37" xfId="0" applyFont="1" applyBorder="1"/>
    <xf numFmtId="0" fontId="6" fillId="0" borderId="45" xfId="0" applyFont="1" applyBorder="1"/>
    <xf numFmtId="185" fontId="6" fillId="0" borderId="0" xfId="0" applyNumberFormat="1" applyFont="1" applyFill="1" applyBorder="1"/>
    <xf numFmtId="188" fontId="6" fillId="0" borderId="0" xfId="127" applyNumberFormat="1" applyFont="1" applyBorder="1"/>
    <xf numFmtId="187" fontId="7" fillId="25" borderId="29" xfId="0" applyNumberFormat="1" applyFont="1" applyFill="1" applyBorder="1"/>
    <xf numFmtId="183" fontId="7" fillId="0" borderId="29" xfId="127" applyNumberFormat="1" applyFont="1" applyFill="1" applyBorder="1" applyAlignment="1">
      <alignment horizontal="center" vertical="top" wrapText="1"/>
    </xf>
    <xf numFmtId="0" fontId="7" fillId="0" borderId="5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36" xfId="0" applyFont="1" applyBorder="1"/>
    <xf numFmtId="0" fontId="6" fillId="0" borderId="36" xfId="0" applyFont="1" applyFill="1" applyBorder="1" applyAlignment="1">
      <alignment horizontal="center" vertical="center"/>
    </xf>
    <xf numFmtId="9" fontId="7" fillId="0" borderId="36" xfId="127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2" xfId="0" applyFont="1" applyBorder="1"/>
    <xf numFmtId="187" fontId="6" fillId="0" borderId="58" xfId="0" applyNumberFormat="1" applyFont="1" applyBorder="1"/>
    <xf numFmtId="184" fontId="7" fillId="0" borderId="26" xfId="0" applyNumberFormat="1" applyFont="1" applyBorder="1"/>
    <xf numFmtId="184" fontId="7" fillId="0" borderId="22" xfId="0" applyNumberFormat="1" applyFont="1" applyBorder="1"/>
    <xf numFmtId="184" fontId="7" fillId="0" borderId="46" xfId="0" applyNumberFormat="1" applyFont="1" applyBorder="1"/>
    <xf numFmtId="183" fontId="7" fillId="0" borderId="22" xfId="127" applyNumberFormat="1" applyFont="1" applyFill="1" applyBorder="1" applyAlignment="1">
      <alignment horizontal="center" vertical="top" wrapText="1"/>
    </xf>
    <xf numFmtId="183" fontId="7" fillId="0" borderId="31" xfId="127" applyNumberFormat="1" applyFont="1" applyFill="1" applyBorder="1" applyAlignment="1">
      <alignment horizontal="center" vertical="top" wrapText="1"/>
    </xf>
    <xf numFmtId="187" fontId="6" fillId="0" borderId="30" xfId="0" applyNumberFormat="1" applyFont="1" applyBorder="1"/>
    <xf numFmtId="187" fontId="6" fillId="0" borderId="29" xfId="0" applyNumberFormat="1" applyFont="1" applyBorder="1"/>
    <xf numFmtId="183" fontId="6" fillId="0" borderId="29" xfId="127" applyNumberFormat="1" applyFont="1" applyFill="1" applyBorder="1" applyAlignment="1">
      <alignment horizontal="center" vertical="top" wrapText="1"/>
    </xf>
    <xf numFmtId="187" fontId="6" fillId="0" borderId="56" xfId="0" applyNumberFormat="1" applyFont="1" applyBorder="1"/>
    <xf numFmtId="0" fontId="6" fillId="0" borderId="67" xfId="0" applyFont="1" applyBorder="1" applyAlignment="1">
      <alignment horizontal="center"/>
    </xf>
    <xf numFmtId="9" fontId="7" fillId="0" borderId="26" xfId="127" applyFont="1" applyBorder="1" applyAlignment="1">
      <alignment horizontal="center"/>
    </xf>
    <xf numFmtId="9" fontId="7" fillId="0" borderId="46" xfId="127" applyFont="1" applyBorder="1" applyAlignment="1">
      <alignment horizontal="center"/>
    </xf>
    <xf numFmtId="183" fontId="7" fillId="0" borderId="46" xfId="127" applyNumberFormat="1" applyFont="1" applyFill="1" applyBorder="1" applyAlignment="1">
      <alignment horizontal="center" vertical="top" wrapText="1"/>
    </xf>
    <xf numFmtId="0" fontId="7" fillId="0" borderId="68" xfId="0" applyFont="1" applyBorder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/>
    </xf>
    <xf numFmtId="187" fontId="6" fillId="0" borderId="69" xfId="0" applyNumberFormat="1" applyFont="1" applyBorder="1"/>
    <xf numFmtId="0" fontId="7" fillId="0" borderId="35" xfId="0" applyFont="1" applyFill="1" applyBorder="1"/>
    <xf numFmtId="184" fontId="7" fillId="0" borderId="55" xfId="0" applyNumberFormat="1" applyFont="1" applyBorder="1"/>
    <xf numFmtId="187" fontId="7" fillId="0" borderId="70" xfId="0" applyNumberFormat="1" applyFont="1" applyBorder="1"/>
    <xf numFmtId="0" fontId="6" fillId="0" borderId="16" xfId="0" applyFont="1" applyFill="1" applyBorder="1" applyAlignment="1">
      <alignment horizontal="left" indent="1"/>
    </xf>
    <xf numFmtId="0" fontId="10" fillId="0" borderId="11" xfId="0" quotePrefix="1" applyFont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183" fontId="6" fillId="0" borderId="36" xfId="127" applyNumberFormat="1" applyFont="1" applyFill="1" applyBorder="1" applyAlignment="1">
      <alignment horizontal="center" vertical="top" wrapText="1"/>
    </xf>
    <xf numFmtId="184" fontId="6" fillId="0" borderId="0" xfId="82" applyNumberFormat="1" applyFont="1" applyFill="1" applyBorder="1"/>
    <xf numFmtId="0" fontId="7" fillId="0" borderId="67" xfId="0" applyFont="1" applyFill="1" applyBorder="1" applyAlignment="1">
      <alignment horizontal="center" vertical="center" wrapText="1"/>
    </xf>
    <xf numFmtId="187" fontId="7" fillId="25" borderId="22" xfId="0" applyNumberFormat="1" applyFont="1" applyFill="1" applyBorder="1"/>
    <xf numFmtId="187" fontId="6" fillId="25" borderId="36" xfId="0" applyNumberFormat="1" applyFont="1" applyFill="1" applyBorder="1"/>
    <xf numFmtId="187" fontId="7" fillId="25" borderId="22" xfId="0" applyNumberFormat="1" applyFont="1" applyFill="1" applyBorder="1" applyAlignment="1">
      <alignment vertical="top"/>
    </xf>
    <xf numFmtId="9" fontId="6" fillId="0" borderId="22" xfId="127" applyFont="1" applyBorder="1" applyAlignment="1">
      <alignment horizontal="center"/>
    </xf>
    <xf numFmtId="9" fontId="7" fillId="0" borderId="31" xfId="127" applyFont="1" applyBorder="1" applyAlignment="1">
      <alignment horizontal="center"/>
    </xf>
    <xf numFmtId="9" fontId="7" fillId="0" borderId="29" xfId="127" applyFont="1" applyBorder="1" applyAlignment="1">
      <alignment horizontal="center"/>
    </xf>
    <xf numFmtId="9" fontId="7" fillId="0" borderId="24" xfId="127" applyFont="1" applyBorder="1" applyAlignment="1">
      <alignment horizontal="center"/>
    </xf>
    <xf numFmtId="187" fontId="7" fillId="25" borderId="24" xfId="0" applyNumberFormat="1" applyFont="1" applyFill="1" applyBorder="1"/>
    <xf numFmtId="9" fontId="6" fillId="0" borderId="36" xfId="127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12" fillId="0" borderId="15" xfId="0" applyFont="1" applyBorder="1"/>
    <xf numFmtId="0" fontId="6" fillId="0" borderId="65" xfId="0" applyFont="1" applyBorder="1"/>
    <xf numFmtId="184" fontId="6" fillId="0" borderId="13" xfId="82" applyNumberFormat="1" applyFont="1" applyFill="1" applyBorder="1"/>
    <xf numFmtId="2" fontId="6" fillId="0" borderId="0" xfId="0" applyNumberFormat="1" applyFont="1"/>
    <xf numFmtId="0" fontId="7" fillId="0" borderId="11" xfId="0" quotePrefix="1" applyFont="1" applyBorder="1" applyAlignment="1">
      <alignment horizontal="left" indent="1"/>
    </xf>
    <xf numFmtId="183" fontId="7" fillId="0" borderId="22" xfId="127" applyNumberFormat="1" applyFont="1" applyFill="1" applyBorder="1" applyAlignment="1">
      <alignment horizontal="center" wrapText="1"/>
    </xf>
    <xf numFmtId="9" fontId="7" fillId="0" borderId="22" xfId="127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5" fillId="0" borderId="14" xfId="0" applyFont="1" applyFill="1" applyBorder="1" applyAlignment="1"/>
    <xf numFmtId="0" fontId="7" fillId="0" borderId="10" xfId="0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 wrapText="1" indent="1"/>
    </xf>
    <xf numFmtId="0" fontId="7" fillId="0" borderId="19" xfId="0" applyNumberFormat="1" applyFont="1" applyBorder="1"/>
    <xf numFmtId="0" fontId="7" fillId="0" borderId="59" xfId="0" applyFont="1" applyBorder="1"/>
    <xf numFmtId="9" fontId="7" fillId="0" borderId="54" xfId="127" applyFont="1" applyBorder="1" applyAlignment="1">
      <alignment horizontal="center"/>
    </xf>
    <xf numFmtId="9" fontId="7" fillId="0" borderId="66" xfId="127" applyFont="1" applyBorder="1" applyAlignment="1">
      <alignment horizontal="center"/>
    </xf>
    <xf numFmtId="9" fontId="7" fillId="0" borderId="36" xfId="127" applyFont="1" applyBorder="1" applyAlignment="1">
      <alignment horizontal="center"/>
    </xf>
    <xf numFmtId="9" fontId="7" fillId="0" borderId="51" xfId="127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187" fontId="6" fillId="0" borderId="14" xfId="0" applyNumberFormat="1" applyFont="1" applyBorder="1"/>
    <xf numFmtId="187" fontId="6" fillId="0" borderId="17" xfId="0" applyNumberFormat="1" applyFont="1" applyBorder="1"/>
    <xf numFmtId="0" fontId="7" fillId="0" borderId="71" xfId="0" applyFont="1" applyBorder="1"/>
    <xf numFmtId="0" fontId="7" fillId="0" borderId="18" xfId="0" applyFont="1" applyBorder="1"/>
    <xf numFmtId="0" fontId="6" fillId="0" borderId="15" xfId="0" applyFont="1" applyBorder="1"/>
    <xf numFmtId="187" fontId="6" fillId="0" borderId="12" xfId="0" applyNumberFormat="1" applyFont="1" applyBorder="1"/>
    <xf numFmtId="187" fontId="6" fillId="0" borderId="65" xfId="0" applyNumberFormat="1" applyFont="1" applyBorder="1"/>
    <xf numFmtId="0" fontId="6" fillId="0" borderId="71" xfId="0" applyFont="1" applyBorder="1"/>
    <xf numFmtId="0" fontId="6" fillId="0" borderId="18" xfId="0" applyFont="1" applyBorder="1"/>
    <xf numFmtId="0" fontId="5" fillId="0" borderId="15" xfId="0" applyFont="1" applyBorder="1"/>
    <xf numFmtId="0" fontId="5" fillId="0" borderId="68" xfId="0" applyFont="1" applyBorder="1"/>
    <xf numFmtId="0" fontId="7" fillId="0" borderId="72" xfId="0" applyFont="1" applyBorder="1" applyAlignment="1">
      <alignment horizontal="center"/>
    </xf>
    <xf numFmtId="187" fontId="7" fillId="0" borderId="18" xfId="0" applyNumberFormat="1" applyFont="1" applyBorder="1"/>
    <xf numFmtId="0" fontId="3" fillId="24" borderId="7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Protection="1"/>
    <xf numFmtId="0" fontId="14" fillId="26" borderId="15" xfId="0" applyFont="1" applyFill="1" applyBorder="1"/>
    <xf numFmtId="0" fontId="14" fillId="26" borderId="12" xfId="0" applyFont="1" applyFill="1" applyBorder="1" applyAlignment="1">
      <alignment horizontal="left"/>
    </xf>
    <xf numFmtId="0" fontId="14" fillId="26" borderId="39" xfId="0" applyFont="1" applyFill="1" applyBorder="1" applyAlignment="1">
      <alignment horizontal="left"/>
    </xf>
    <xf numFmtId="0" fontId="14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5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88" fontId="7" fillId="0" borderId="36" xfId="127" applyNumberFormat="1" applyFont="1" applyBorder="1"/>
    <xf numFmtId="187" fontId="6" fillId="28" borderId="26" xfId="0" applyNumberFormat="1" applyFont="1" applyFill="1" applyBorder="1" applyProtection="1">
      <protection locked="0"/>
    </xf>
    <xf numFmtId="187" fontId="6" fillId="28" borderId="22" xfId="0" applyNumberFormat="1" applyFont="1" applyFill="1" applyBorder="1" applyProtection="1">
      <protection locked="0"/>
    </xf>
    <xf numFmtId="187" fontId="6" fillId="0" borderId="46" xfId="0" applyNumberFormat="1" applyFont="1" applyFill="1" applyBorder="1"/>
    <xf numFmtId="0" fontId="9" fillId="0" borderId="10" xfId="0" applyFont="1" applyBorder="1" applyProtection="1"/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9" fontId="6" fillId="0" borderId="39" xfId="0" applyNumberFormat="1" applyFont="1" applyBorder="1" applyAlignment="1" applyProtection="1">
      <alignment horizontal="center" vertical="top"/>
      <protection locked="0"/>
    </xf>
    <xf numFmtId="183" fontId="6" fillId="0" borderId="10" xfId="127" applyNumberFormat="1" applyFont="1" applyFill="1" applyBorder="1" applyAlignment="1" applyProtection="1">
      <alignment horizontal="center" vertical="top" wrapText="1"/>
    </xf>
    <xf numFmtId="183" fontId="6" fillId="0" borderId="45" xfId="127" applyNumberFormat="1" applyFont="1" applyFill="1" applyBorder="1" applyAlignment="1" applyProtection="1">
      <alignment horizontal="center" vertical="top" wrapText="1"/>
    </xf>
    <xf numFmtId="183" fontId="6" fillId="0" borderId="22" xfId="127" applyNumberFormat="1" applyFont="1" applyFill="1" applyBorder="1" applyAlignment="1" applyProtection="1">
      <alignment horizontal="center" vertical="top" wrapText="1"/>
    </xf>
    <xf numFmtId="183" fontId="6" fillId="0" borderId="46" xfId="127" applyNumberFormat="1" applyFont="1" applyFill="1" applyBorder="1" applyAlignment="1" applyProtection="1">
      <alignment horizontal="center" vertical="top" wrapText="1"/>
    </xf>
    <xf numFmtId="187" fontId="6" fillId="28" borderId="37" xfId="0" applyNumberFormat="1" applyFont="1" applyFill="1" applyBorder="1" applyProtection="1">
      <protection locked="0"/>
    </xf>
    <xf numFmtId="187" fontId="6" fillId="28" borderId="13" xfId="0" applyNumberFormat="1" applyFont="1" applyFill="1" applyBorder="1" applyProtection="1">
      <protection locked="0"/>
    </xf>
    <xf numFmtId="0" fontId="6" fillId="0" borderId="11" xfId="0" quotePrefix="1" applyFont="1" applyFill="1" applyBorder="1" applyAlignment="1">
      <alignment horizontal="left" indent="2"/>
    </xf>
    <xf numFmtId="0" fontId="7" fillId="0" borderId="11" xfId="0" quotePrefix="1" applyFont="1" applyFill="1" applyBorder="1" applyAlignment="1">
      <alignment horizontal="left" indent="1"/>
    </xf>
    <xf numFmtId="0" fontId="10" fillId="0" borderId="11" xfId="0" quotePrefix="1" applyFont="1" applyFill="1" applyBorder="1" applyAlignment="1">
      <alignment horizontal="left" indent="2"/>
    </xf>
    <xf numFmtId="9" fontId="7" fillId="25" borderId="10" xfId="127" applyFont="1" applyFill="1" applyBorder="1" applyAlignment="1">
      <alignment horizontal="center"/>
    </xf>
    <xf numFmtId="184" fontId="6" fillId="25" borderId="10" xfId="0" applyNumberFormat="1" applyFont="1" applyFill="1" applyBorder="1"/>
    <xf numFmtId="183" fontId="7" fillId="25" borderId="22" xfId="127" applyNumberFormat="1" applyFont="1" applyFill="1" applyBorder="1" applyAlignment="1">
      <alignment horizontal="center" vertical="top" wrapText="1"/>
    </xf>
    <xf numFmtId="184" fontId="6" fillId="25" borderId="22" xfId="0" applyNumberFormat="1" applyFont="1" applyFill="1" applyBorder="1"/>
    <xf numFmtId="9" fontId="7" fillId="25" borderId="22" xfId="127" applyFont="1" applyFill="1" applyBorder="1" applyAlignment="1">
      <alignment horizontal="center" vertical="top" wrapText="1"/>
    </xf>
    <xf numFmtId="9" fontId="6" fillId="25" borderId="22" xfId="127" applyFont="1" applyFill="1" applyBorder="1" applyAlignment="1">
      <alignment horizontal="center"/>
    </xf>
    <xf numFmtId="187" fontId="6" fillId="0" borderId="0" xfId="0" applyNumberFormat="1" applyFont="1" applyFill="1" applyBorder="1" applyProtection="1"/>
    <xf numFmtId="0" fontId="5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 indent="1"/>
    </xf>
    <xf numFmtId="187" fontId="6" fillId="0" borderId="22" xfId="0" applyNumberFormat="1" applyFont="1" applyFill="1" applyBorder="1" applyProtection="1"/>
    <xf numFmtId="187" fontId="6" fillId="0" borderId="36" xfId="0" applyNumberFormat="1" applyFont="1" applyFill="1" applyBorder="1" applyProtection="1"/>
    <xf numFmtId="183" fontId="7" fillId="25" borderId="24" xfId="127" applyNumberFormat="1" applyFont="1" applyFill="1" applyBorder="1" applyAlignment="1">
      <alignment horizontal="center" vertical="top" wrapText="1"/>
    </xf>
    <xf numFmtId="0" fontId="6" fillId="0" borderId="0" xfId="0" quotePrefix="1" applyFont="1" applyBorder="1"/>
    <xf numFmtId="0" fontId="2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left" indent="1"/>
    </xf>
    <xf numFmtId="0" fontId="6" fillId="0" borderId="22" xfId="0" applyNumberFormat="1" applyFont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 indent="2"/>
    </xf>
    <xf numFmtId="0" fontId="6" fillId="0" borderId="22" xfId="0" applyNumberFormat="1" applyFont="1" applyFill="1" applyBorder="1" applyAlignment="1" applyProtection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187" fontId="7" fillId="0" borderId="43" xfId="0" applyNumberFormat="1" applyFont="1" applyBorder="1"/>
    <xf numFmtId="9" fontId="7" fillId="0" borderId="43" xfId="127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14" xfId="0" applyFont="1" applyFill="1" applyBorder="1" applyAlignment="1" applyProtection="1">
      <alignment horizontal="left"/>
    </xf>
    <xf numFmtId="0" fontId="16" fillId="0" borderId="0" xfId="0" applyFont="1"/>
    <xf numFmtId="0" fontId="7" fillId="0" borderId="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9" fillId="0" borderId="11" xfId="0" applyFont="1" applyBorder="1" applyProtection="1"/>
    <xf numFmtId="0" fontId="7" fillId="0" borderId="22" xfId="0" applyNumberFormat="1" applyFont="1" applyBorder="1" applyAlignment="1" applyProtection="1">
      <alignment horizontal="center"/>
      <protection locked="0"/>
    </xf>
    <xf numFmtId="187" fontId="7" fillId="0" borderId="22" xfId="0" applyNumberFormat="1" applyFont="1" applyBorder="1" applyAlignment="1">
      <alignment horizontal="right"/>
    </xf>
    <xf numFmtId="187" fontId="7" fillId="0" borderId="13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7" fillId="0" borderId="26" xfId="0" applyNumberFormat="1" applyFont="1" applyBorder="1" applyAlignment="1">
      <alignment horizontal="right"/>
    </xf>
    <xf numFmtId="0" fontId="6" fillId="0" borderId="22" xfId="0" applyNumberFormat="1" applyFont="1" applyBorder="1" applyAlignment="1" applyProtection="1">
      <alignment horizontal="center"/>
      <protection locked="0"/>
    </xf>
    <xf numFmtId="184" fontId="6" fillId="0" borderId="13" xfId="0" applyNumberFormat="1" applyFont="1" applyBorder="1"/>
    <xf numFmtId="0" fontId="7" fillId="0" borderId="11" xfId="0" applyFont="1" applyBorder="1" applyAlignment="1" applyProtection="1">
      <alignment horizontal="left"/>
    </xf>
    <xf numFmtId="187" fontId="7" fillId="0" borderId="43" xfId="0" applyNumberFormat="1" applyFont="1" applyBorder="1" applyAlignment="1" applyProtection="1">
      <alignment horizontal="right"/>
    </xf>
    <xf numFmtId="187" fontId="7" fillId="0" borderId="73" xfId="0" applyNumberFormat="1" applyFont="1" applyBorder="1" applyAlignment="1" applyProtection="1">
      <alignment horizontal="right"/>
    </xf>
    <xf numFmtId="187" fontId="7" fillId="0" borderId="74" xfId="0" applyNumberFormat="1" applyFont="1" applyBorder="1" applyAlignment="1" applyProtection="1">
      <alignment horizontal="right"/>
    </xf>
    <xf numFmtId="187" fontId="7" fillId="0" borderId="52" xfId="0" applyNumberFormat="1" applyFont="1" applyBorder="1" applyAlignment="1" applyProtection="1">
      <alignment horizontal="right"/>
    </xf>
    <xf numFmtId="184" fontId="7" fillId="0" borderId="18" xfId="0" applyNumberFormat="1" applyFont="1" applyBorder="1"/>
    <xf numFmtId="184" fontId="7" fillId="0" borderId="72" xfId="0" applyNumberFormat="1" applyFont="1" applyBorder="1"/>
    <xf numFmtId="0" fontId="6" fillId="0" borderId="16" xfId="0" applyFont="1" applyBorder="1" applyProtection="1"/>
    <xf numFmtId="0" fontId="6" fillId="0" borderId="24" xfId="0" applyNumberFormat="1" applyFont="1" applyBorder="1" applyAlignment="1" applyProtection="1">
      <alignment horizontal="center"/>
    </xf>
    <xf numFmtId="187" fontId="6" fillId="0" borderId="24" xfId="0" applyNumberFormat="1" applyFont="1" applyBorder="1" applyProtection="1"/>
    <xf numFmtId="187" fontId="6" fillId="0" borderId="17" xfId="0" applyNumberFormat="1" applyFont="1" applyBorder="1" applyProtection="1"/>
    <xf numFmtId="187" fontId="6" fillId="0" borderId="14" xfId="0" applyNumberFormat="1" applyFont="1" applyBorder="1" applyProtection="1"/>
    <xf numFmtId="187" fontId="6" fillId="0" borderId="33" xfId="0" applyNumberFormat="1" applyFont="1" applyBorder="1" applyProtection="1"/>
    <xf numFmtId="0" fontId="9" fillId="0" borderId="15" xfId="0" applyFont="1" applyBorder="1" applyProtection="1"/>
    <xf numFmtId="0" fontId="6" fillId="0" borderId="23" xfId="0" applyNumberFormat="1" applyFont="1" applyBorder="1" applyAlignment="1" applyProtection="1">
      <alignment horizontal="center"/>
    </xf>
    <xf numFmtId="187" fontId="6" fillId="0" borderId="23" xfId="0" applyNumberFormat="1" applyFont="1" applyBorder="1" applyProtection="1"/>
    <xf numFmtId="187" fontId="6" fillId="0" borderId="65" xfId="0" applyNumberFormat="1" applyFont="1" applyBorder="1" applyProtection="1"/>
    <xf numFmtId="187" fontId="6" fillId="0" borderId="12" xfId="0" applyNumberFormat="1" applyFont="1" applyBorder="1" applyProtection="1"/>
    <xf numFmtId="187" fontId="6" fillId="0" borderId="25" xfId="0" applyNumberFormat="1" applyFont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187" fontId="7" fillId="0" borderId="22" xfId="0" applyNumberFormat="1" applyFont="1" applyBorder="1" applyAlignment="1" applyProtection="1">
      <alignment horizontal="right"/>
    </xf>
    <xf numFmtId="187" fontId="7" fillId="0" borderId="13" xfId="0" applyNumberFormat="1" applyFont="1" applyBorder="1" applyAlignment="1" applyProtection="1">
      <alignment horizontal="right"/>
    </xf>
    <xf numFmtId="187" fontId="7" fillId="0" borderId="0" xfId="0" applyNumberFormat="1" applyFont="1" applyBorder="1" applyAlignment="1" applyProtection="1">
      <alignment horizontal="right"/>
    </xf>
    <xf numFmtId="187" fontId="7" fillId="0" borderId="26" xfId="0" applyNumberFormat="1" applyFont="1" applyBorder="1" applyAlignment="1" applyProtection="1">
      <alignment horizontal="right"/>
    </xf>
    <xf numFmtId="187" fontId="6" fillId="28" borderId="0" xfId="0" applyNumberFormat="1" applyFont="1" applyFill="1" applyBorder="1" applyProtection="1">
      <protection locked="0"/>
    </xf>
    <xf numFmtId="184" fontId="6" fillId="0" borderId="10" xfId="0" applyNumberFormat="1" applyFont="1" applyFill="1" applyBorder="1"/>
    <xf numFmtId="187" fontId="7" fillId="0" borderId="74" xfId="0" applyNumberFormat="1" applyFont="1" applyBorder="1"/>
    <xf numFmtId="187" fontId="7" fillId="0" borderId="52" xfId="0" applyNumberFormat="1" applyFont="1" applyBorder="1"/>
    <xf numFmtId="184" fontId="7" fillId="0" borderId="13" xfId="0" applyNumberFormat="1" applyFont="1" applyBorder="1"/>
    <xf numFmtId="0" fontId="6" fillId="0" borderId="29" xfId="0" applyNumberFormat="1" applyFont="1" applyBorder="1" applyAlignment="1" applyProtection="1">
      <alignment horizontal="center"/>
      <protection locked="0"/>
    </xf>
    <xf numFmtId="187" fontId="7" fillId="0" borderId="29" xfId="0" applyNumberFormat="1" applyFont="1" applyFill="1" applyBorder="1"/>
    <xf numFmtId="187" fontId="7" fillId="0" borderId="75" xfId="0" applyNumberFormat="1" applyFont="1" applyBorder="1"/>
    <xf numFmtId="184" fontId="7" fillId="0" borderId="76" xfId="0" applyNumberFormat="1" applyFont="1" applyBorder="1"/>
    <xf numFmtId="184" fontId="7" fillId="0" borderId="77" xfId="0" applyNumberFormat="1" applyFont="1" applyBorder="1"/>
    <xf numFmtId="0" fontId="11" fillId="0" borderId="0" xfId="0" applyFont="1" applyBorder="1" applyProtection="1"/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84" fontId="7" fillId="0" borderId="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quotePrefix="1" applyFont="1" applyBorder="1" applyProtection="1"/>
    <xf numFmtId="0" fontId="7" fillId="0" borderId="0" xfId="0" applyFont="1" applyBorder="1" applyProtection="1">
      <protection locked="0"/>
    </xf>
    <xf numFmtId="184" fontId="7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180" fontId="6" fillId="0" borderId="0" xfId="82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9" fontId="7" fillId="0" borderId="22" xfId="127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87" fontId="7" fillId="0" borderId="37" xfId="0" applyNumberFormat="1" applyFont="1" applyBorder="1" applyAlignment="1">
      <alignment horizontal="right"/>
    </xf>
    <xf numFmtId="187" fontId="7" fillId="0" borderId="78" xfId="0" applyNumberFormat="1" applyFont="1" applyBorder="1" applyAlignment="1" applyProtection="1">
      <alignment horizontal="right"/>
    </xf>
    <xf numFmtId="187" fontId="6" fillId="0" borderId="69" xfId="0" applyNumberFormat="1" applyFont="1" applyBorder="1" applyProtection="1"/>
    <xf numFmtId="187" fontId="6" fillId="0" borderId="79" xfId="0" applyNumberFormat="1" applyFont="1" applyBorder="1" applyProtection="1"/>
    <xf numFmtId="187" fontId="7" fillId="0" borderId="37" xfId="0" applyNumberFormat="1" applyFont="1" applyBorder="1" applyAlignment="1" applyProtection="1">
      <alignment horizontal="right"/>
    </xf>
    <xf numFmtId="187" fontId="7" fillId="0" borderId="78" xfId="0" applyNumberFormat="1" applyFont="1" applyBorder="1"/>
    <xf numFmtId="187" fontId="7" fillId="0" borderId="34" xfId="0" applyNumberFormat="1" applyFont="1" applyFill="1" applyBorder="1"/>
    <xf numFmtId="0" fontId="6" fillId="0" borderId="25" xfId="0" applyFont="1" applyBorder="1"/>
    <xf numFmtId="0" fontId="6" fillId="0" borderId="23" xfId="0" applyFont="1" applyBorder="1"/>
    <xf numFmtId="187" fontId="7" fillId="0" borderId="30" xfId="0" applyNumberFormat="1" applyFont="1" applyFill="1" applyBorder="1"/>
    <xf numFmtId="187" fontId="7" fillId="0" borderId="49" xfId="0" applyNumberFormat="1" applyFont="1" applyBorder="1"/>
    <xf numFmtId="187" fontId="6" fillId="0" borderId="43" xfId="0" applyNumberFormat="1" applyFont="1" applyBorder="1"/>
    <xf numFmtId="9" fontId="6" fillId="0" borderId="43" xfId="127" applyFont="1" applyBorder="1" applyAlignment="1">
      <alignment horizontal="center"/>
    </xf>
    <xf numFmtId="187" fontId="7" fillId="0" borderId="67" xfId="0" applyNumberFormat="1" applyFont="1" applyBorder="1"/>
    <xf numFmtId="0" fontId="6" fillId="0" borderId="11" xfId="0" applyNumberFormat="1" applyFont="1" applyFill="1" applyBorder="1" applyAlignment="1">
      <alignment horizontal="left" indent="1"/>
    </xf>
    <xf numFmtId="0" fontId="6" fillId="0" borderId="11" xfId="0" applyNumberFormat="1" applyFont="1" applyBorder="1" applyAlignment="1">
      <alignment horizontal="left" inden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 vertical="top"/>
    </xf>
    <xf numFmtId="187" fontId="7" fillId="0" borderId="55" xfId="0" applyNumberFormat="1" applyFont="1" applyBorder="1" applyAlignment="1">
      <alignment vertical="top"/>
    </xf>
    <xf numFmtId="187" fontId="7" fillId="0" borderId="32" xfId="0" applyNumberFormat="1" applyFont="1" applyBorder="1" applyAlignment="1">
      <alignment vertical="top"/>
    </xf>
    <xf numFmtId="187" fontId="7" fillId="0" borderId="31" xfId="0" applyNumberFormat="1" applyFont="1" applyBorder="1" applyAlignment="1">
      <alignment vertical="top"/>
    </xf>
    <xf numFmtId="9" fontId="7" fillId="0" borderId="31" xfId="127" applyFont="1" applyBorder="1" applyAlignment="1">
      <alignment horizontal="center" vertical="top"/>
    </xf>
    <xf numFmtId="187" fontId="7" fillId="0" borderId="47" xfId="0" applyNumberFormat="1" applyFont="1" applyBorder="1" applyAlignment="1">
      <alignment vertical="top"/>
    </xf>
    <xf numFmtId="0" fontId="7" fillId="0" borderId="11" xfId="0" applyNumberFormat="1" applyFont="1" applyBorder="1" applyAlignment="1">
      <alignment wrapText="1"/>
    </xf>
    <xf numFmtId="187" fontId="7" fillId="0" borderId="43" xfId="0" applyNumberFormat="1" applyFont="1" applyBorder="1" applyAlignment="1">
      <alignment vertical="top"/>
    </xf>
    <xf numFmtId="187" fontId="7" fillId="0" borderId="49" xfId="0" applyNumberFormat="1" applyFont="1" applyBorder="1" applyAlignment="1">
      <alignment vertical="top"/>
    </xf>
    <xf numFmtId="187" fontId="7" fillId="0" borderId="60" xfId="0" applyNumberFormat="1" applyFont="1" applyBorder="1" applyAlignment="1">
      <alignment vertical="top"/>
    </xf>
    <xf numFmtId="187" fontId="6" fillId="0" borderId="10" xfId="0" applyNumberFormat="1" applyFont="1" applyFill="1" applyBorder="1"/>
    <xf numFmtId="187" fontId="6" fillId="0" borderId="45" xfId="0" applyNumberFormat="1" applyFont="1" applyFill="1" applyBorder="1"/>
    <xf numFmtId="187" fontId="6" fillId="0" borderId="10" xfId="0" applyNumberFormat="1" applyFont="1" applyFill="1" applyBorder="1" applyProtection="1">
      <protection locked="0"/>
    </xf>
    <xf numFmtId="187" fontId="6" fillId="0" borderId="45" xfId="0" applyNumberFormat="1" applyFont="1" applyFill="1" applyBorder="1" applyProtection="1">
      <protection locked="0"/>
    </xf>
    <xf numFmtId="187" fontId="6" fillId="0" borderId="22" xfId="0" applyNumberFormat="1" applyFont="1" applyFill="1" applyBorder="1" applyProtection="1">
      <protection locked="0"/>
    </xf>
    <xf numFmtId="187" fontId="6" fillId="0" borderId="46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6" fillId="0" borderId="11" xfId="0" applyFont="1" applyFill="1" applyBorder="1" applyAlignment="1">
      <alignment horizontal="left" indent="2"/>
    </xf>
    <xf numFmtId="0" fontId="7" fillId="0" borderId="38" xfId="0" applyFont="1" applyBorder="1"/>
    <xf numFmtId="0" fontId="6" fillId="0" borderId="56" xfId="0" applyFont="1" applyBorder="1" applyAlignment="1">
      <alignment horizontal="center"/>
    </xf>
    <xf numFmtId="187" fontId="7" fillId="0" borderId="38" xfId="0" applyNumberFormat="1" applyFont="1" applyFill="1" applyBorder="1"/>
    <xf numFmtId="187" fontId="7" fillId="0" borderId="64" xfId="0" applyNumberFormat="1" applyFont="1" applyFill="1" applyBorder="1"/>
    <xf numFmtId="9" fontId="7" fillId="0" borderId="29" xfId="127" applyFont="1" applyFill="1" applyBorder="1" applyAlignment="1">
      <alignment horizontal="center"/>
    </xf>
    <xf numFmtId="187" fontId="7" fillId="0" borderId="56" xfId="0" applyNumberFormat="1" applyFont="1" applyFill="1" applyBorder="1"/>
    <xf numFmtId="187" fontId="7" fillId="0" borderId="60" xfId="0" applyNumberFormat="1" applyFont="1" applyBorder="1"/>
    <xf numFmtId="187" fontId="7" fillId="0" borderId="31" xfId="0" applyNumberFormat="1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11" xfId="0" applyNumberFormat="1" applyFont="1" applyBorder="1"/>
    <xf numFmtId="0" fontId="6" fillId="0" borderId="11" xfId="0" applyNumberFormat="1" applyFont="1" applyBorder="1"/>
    <xf numFmtId="0" fontId="9" fillId="0" borderId="11" xfId="0" applyNumberFormat="1" applyFont="1" applyBorder="1"/>
    <xf numFmtId="0" fontId="7" fillId="0" borderId="38" xfId="0" applyNumberFormat="1" applyFont="1" applyBorder="1"/>
    <xf numFmtId="187" fontId="7" fillId="25" borderId="30" xfId="0" applyNumberFormat="1" applyFont="1" applyFill="1" applyBorder="1"/>
    <xf numFmtId="187" fontId="6" fillId="0" borderId="26" xfId="0" applyNumberFormat="1" applyFont="1" applyFill="1" applyBorder="1" applyProtection="1">
      <protection locked="0"/>
    </xf>
    <xf numFmtId="183" fontId="6" fillId="0" borderId="22" xfId="127" applyNumberFormat="1" applyFont="1" applyFill="1" applyBorder="1" applyAlignment="1" applyProtection="1">
      <alignment horizontal="center" vertical="top" wrapText="1"/>
      <protection locked="0"/>
    </xf>
    <xf numFmtId="187" fontId="6" fillId="0" borderId="43" xfId="0" applyNumberFormat="1" applyFont="1" applyFill="1" applyBorder="1" applyProtection="1">
      <protection locked="0"/>
    </xf>
    <xf numFmtId="183" fontId="6" fillId="0" borderId="43" xfId="127" applyNumberFormat="1" applyFont="1" applyFill="1" applyBorder="1" applyAlignment="1" applyProtection="1">
      <alignment horizontal="center" vertical="top" wrapText="1"/>
      <protection locked="0"/>
    </xf>
    <xf numFmtId="187" fontId="6" fillId="0" borderId="52" xfId="0" applyNumberFormat="1" applyFont="1" applyFill="1" applyBorder="1" applyProtection="1">
      <protection locked="0"/>
    </xf>
    <xf numFmtId="183" fontId="6" fillId="0" borderId="43" xfId="127" applyNumberFormat="1" applyFont="1" applyFill="1" applyBorder="1" applyAlignment="1">
      <alignment horizontal="center" vertical="top" wrapText="1"/>
    </xf>
    <xf numFmtId="183" fontId="7" fillId="0" borderId="43" xfId="127" applyNumberFormat="1" applyFont="1" applyFill="1" applyBorder="1" applyAlignment="1">
      <alignment horizontal="center" vertical="top" wrapText="1"/>
    </xf>
    <xf numFmtId="0" fontId="6" fillId="0" borderId="59" xfId="0" applyFont="1" applyBorder="1"/>
    <xf numFmtId="187" fontId="6" fillId="0" borderId="66" xfId="0" applyNumberFormat="1" applyFont="1" applyBorder="1"/>
    <xf numFmtId="0" fontId="7" fillId="0" borderId="27" xfId="0" applyNumberFormat="1" applyFont="1" applyBorder="1" applyAlignment="1">
      <alignment vertical="center"/>
    </xf>
    <xf numFmtId="0" fontId="7" fillId="0" borderId="40" xfId="0" applyNumberFormat="1" applyFont="1" applyBorder="1" applyAlignment="1">
      <alignment horizontal="left"/>
    </xf>
    <xf numFmtId="0" fontId="7" fillId="0" borderId="35" xfId="0" applyNumberFormat="1" applyFont="1" applyBorder="1" applyAlignment="1">
      <alignment vertical="center"/>
    </xf>
    <xf numFmtId="0" fontId="9" fillId="0" borderId="27" xfId="0" applyFont="1" applyBorder="1"/>
    <xf numFmtId="184" fontId="6" fillId="0" borderId="38" xfId="0" quotePrefix="1" applyNumberFormat="1" applyFont="1" applyBorder="1" applyAlignment="1">
      <alignment horizontal="center"/>
    </xf>
    <xf numFmtId="184" fontId="6" fillId="0" borderId="30" xfId="0" quotePrefix="1" applyNumberFormat="1" applyFont="1" applyBorder="1" applyAlignment="1">
      <alignment horizontal="center"/>
    </xf>
    <xf numFmtId="184" fontId="6" fillId="0" borderId="29" xfId="0" quotePrefix="1" applyNumberFormat="1" applyFont="1" applyBorder="1" applyAlignment="1">
      <alignment horizontal="center"/>
    </xf>
    <xf numFmtId="184" fontId="6" fillId="0" borderId="29" xfId="0" applyNumberFormat="1" applyFont="1" applyBorder="1" applyAlignment="1">
      <alignment horizontal="center"/>
    </xf>
    <xf numFmtId="184" fontId="6" fillId="0" borderId="56" xfId="0" quotePrefix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 indent="1"/>
    </xf>
    <xf numFmtId="0" fontId="9" fillId="0" borderId="11" xfId="0" applyFont="1" applyBorder="1" applyAlignment="1">
      <alignment horizontal="left"/>
    </xf>
    <xf numFmtId="0" fontId="7" fillId="0" borderId="27" xfId="0" applyNumberFormat="1" applyFont="1" applyBorder="1"/>
    <xf numFmtId="0" fontId="7" fillId="0" borderId="27" xfId="0" applyFont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7" fillId="0" borderId="40" xfId="0" applyFont="1" applyBorder="1" applyAlignment="1">
      <alignment wrapText="1"/>
    </xf>
    <xf numFmtId="187" fontId="6" fillId="0" borderId="67" xfId="0" applyNumberFormat="1" applyFont="1" applyBorder="1"/>
    <xf numFmtId="187" fontId="6" fillId="0" borderId="52" xfId="0" applyNumberFormat="1" applyFont="1" applyBorder="1"/>
    <xf numFmtId="187" fontId="6" fillId="0" borderId="49" xfId="0" applyNumberFormat="1" applyFont="1" applyBorder="1"/>
    <xf numFmtId="0" fontId="10" fillId="0" borderId="11" xfId="0" applyNumberFormat="1" applyFont="1" applyBorder="1" applyAlignment="1">
      <alignment horizontal="left" indent="2"/>
    </xf>
    <xf numFmtId="183" fontId="7" fillId="0" borderId="37" xfId="127" applyNumberFormat="1" applyFont="1" applyFill="1" applyBorder="1" applyAlignment="1">
      <alignment horizontal="center" vertical="top" wrapText="1"/>
    </xf>
    <xf numFmtId="187" fontId="7" fillId="0" borderId="54" xfId="0" applyNumberFormat="1" applyFont="1" applyBorder="1"/>
    <xf numFmtId="187" fontId="7" fillId="0" borderId="62" xfId="0" applyNumberFormat="1" applyFont="1" applyBorder="1"/>
    <xf numFmtId="187" fontId="7" fillId="0" borderId="36" xfId="0" applyNumberFormat="1" applyFont="1" applyBorder="1"/>
    <xf numFmtId="183" fontId="7" fillId="0" borderId="36" xfId="127" applyNumberFormat="1" applyFont="1" applyFill="1" applyBorder="1" applyAlignment="1">
      <alignment horizontal="center" vertical="top" wrapText="1"/>
    </xf>
    <xf numFmtId="187" fontId="7" fillId="0" borderId="51" xfId="0" applyNumberFormat="1" applyFont="1" applyBorder="1"/>
    <xf numFmtId="0" fontId="10" fillId="0" borderId="11" xfId="0" applyFont="1" applyFill="1" applyBorder="1" applyAlignment="1" applyProtection="1">
      <alignment horizontal="left" indent="1"/>
      <protection locked="0"/>
    </xf>
    <xf numFmtId="0" fontId="6" fillId="0" borderId="10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wrapText="1"/>
    </xf>
    <xf numFmtId="0" fontId="7" fillId="0" borderId="10" xfId="0" applyFont="1" applyFill="1" applyBorder="1"/>
    <xf numFmtId="0" fontId="10" fillId="0" borderId="0" xfId="0" applyFont="1" applyBorder="1" applyProtection="1"/>
    <xf numFmtId="0" fontId="6" fillId="0" borderId="31" xfId="0" applyFont="1" applyBorder="1" applyAlignment="1">
      <alignment horizontal="center"/>
    </xf>
    <xf numFmtId="0" fontId="7" fillId="0" borderId="35" xfId="0" applyNumberFormat="1" applyFont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89" fontId="2" fillId="0" borderId="11" xfId="0" applyNumberFormat="1" applyFont="1" applyBorder="1" applyAlignment="1">
      <alignment horizontal="left"/>
    </xf>
    <xf numFmtId="188" fontId="6" fillId="0" borderId="45" xfId="127" applyNumberFormat="1" applyFont="1" applyBorder="1"/>
    <xf numFmtId="188" fontId="7" fillId="0" borderId="22" xfId="127" applyNumberFormat="1" applyFont="1" applyBorder="1" applyAlignment="1">
      <alignment vertical="top"/>
    </xf>
    <xf numFmtId="188" fontId="7" fillId="0" borderId="45" xfId="127" applyNumberFormat="1" applyFont="1" applyBorder="1" applyAlignment="1">
      <alignment vertical="top"/>
    </xf>
    <xf numFmtId="188" fontId="7" fillId="0" borderId="43" xfId="127" applyNumberFormat="1" applyFont="1" applyBorder="1"/>
    <xf numFmtId="186" fontId="7" fillId="25" borderId="22" xfId="0" applyNumberFormat="1" applyFont="1" applyFill="1" applyBorder="1"/>
    <xf numFmtId="188" fontId="7" fillId="25" borderId="22" xfId="127" applyNumberFormat="1" applyFont="1" applyFill="1" applyBorder="1"/>
    <xf numFmtId="187" fontId="7" fillId="0" borderId="47" xfId="0" applyNumberFormat="1" applyFont="1" applyFill="1" applyBorder="1"/>
    <xf numFmtId="187" fontId="7" fillId="0" borderId="61" xfId="0" applyNumberFormat="1" applyFont="1" applyFill="1" applyBorder="1"/>
    <xf numFmtId="9" fontId="7" fillId="0" borderId="31" xfId="127" applyFont="1" applyFill="1" applyBorder="1" applyAlignment="1">
      <alignment horizontal="center"/>
    </xf>
    <xf numFmtId="187" fontId="7" fillId="0" borderId="80" xfId="0" applyNumberFormat="1" applyFont="1" applyFill="1" applyBorder="1"/>
    <xf numFmtId="187" fontId="7" fillId="0" borderId="10" xfId="0" applyNumberFormat="1" applyFont="1" applyFill="1" applyBorder="1"/>
    <xf numFmtId="187" fontId="7" fillId="0" borderId="26" xfId="0" applyNumberFormat="1" applyFont="1" applyFill="1" applyBorder="1"/>
    <xf numFmtId="187" fontId="7" fillId="0" borderId="46" xfId="0" applyNumberFormat="1" applyFont="1" applyFill="1" applyBorder="1"/>
    <xf numFmtId="0" fontId="6" fillId="0" borderId="22" xfId="0" applyNumberFormat="1" applyFont="1" applyBorder="1" applyAlignment="1">
      <alignment horizontal="center"/>
    </xf>
    <xf numFmtId="187" fontId="7" fillId="0" borderId="31" xfId="0" applyNumberFormat="1" applyFont="1" applyFill="1" applyBorder="1" applyProtection="1"/>
    <xf numFmtId="187" fontId="7" fillId="0" borderId="47" xfId="0" applyNumberFormat="1" applyFont="1" applyFill="1" applyBorder="1" applyProtection="1"/>
    <xf numFmtId="0" fontId="6" fillId="0" borderId="26" xfId="0" applyNumberFormat="1" applyFont="1" applyFill="1" applyBorder="1" applyAlignment="1" applyProtection="1">
      <alignment horizontal="left" indent="2"/>
    </xf>
    <xf numFmtId="187" fontId="6" fillId="0" borderId="43" xfId="0" applyNumberFormat="1" applyFont="1" applyFill="1" applyBorder="1" applyProtection="1"/>
    <xf numFmtId="187" fontId="6" fillId="0" borderId="52" xfId="0" applyNumberFormat="1" applyFont="1" applyFill="1" applyBorder="1" applyProtection="1"/>
    <xf numFmtId="187" fontId="6" fillId="0" borderId="49" xfId="0" applyNumberFormat="1" applyFont="1" applyFill="1" applyBorder="1" applyProtection="1"/>
    <xf numFmtId="187" fontId="7" fillId="0" borderId="43" xfId="0" applyNumberFormat="1" applyFont="1" applyFill="1" applyBorder="1" applyProtection="1"/>
    <xf numFmtId="187" fontId="7" fillId="0" borderId="78" xfId="0" applyNumberFormat="1" applyFont="1" applyFill="1" applyBorder="1" applyProtection="1"/>
    <xf numFmtId="187" fontId="7" fillId="0" borderId="52" xfId="0" applyNumberFormat="1" applyFont="1" applyFill="1" applyBorder="1" applyProtection="1"/>
    <xf numFmtId="187" fontId="7" fillId="0" borderId="49" xfId="0" applyNumberFormat="1" applyFont="1" applyFill="1" applyBorder="1" applyProtection="1"/>
    <xf numFmtId="0" fontId="7" fillId="0" borderId="11" xfId="0" applyNumberFormat="1" applyFont="1" applyBorder="1" applyProtection="1"/>
    <xf numFmtId="187" fontId="7" fillId="0" borderId="43" xfId="0" applyNumberFormat="1" applyFont="1" applyFill="1" applyBorder="1"/>
    <xf numFmtId="187" fontId="7" fillId="0" borderId="49" xfId="0" applyNumberFormat="1" applyFont="1" applyFill="1" applyBorder="1"/>
    <xf numFmtId="0" fontId="6" fillId="0" borderId="11" xfId="0" applyNumberFormat="1" applyFont="1" applyBorder="1" applyProtection="1"/>
    <xf numFmtId="0" fontId="9" fillId="0" borderId="11" xfId="0" applyNumberFormat="1" applyFont="1" applyBorder="1" applyProtection="1"/>
    <xf numFmtId="0" fontId="12" fillId="0" borderId="22" xfId="0" applyNumberFormat="1" applyFont="1" applyBorder="1" applyAlignment="1" applyProtection="1">
      <alignment horizontal="center"/>
    </xf>
    <xf numFmtId="0" fontId="7" fillId="0" borderId="27" xfId="0" applyNumberFormat="1" applyFont="1" applyBorder="1" applyProtection="1"/>
    <xf numFmtId="0" fontId="6" fillId="0" borderId="29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184" fontId="8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184" fontId="8" fillId="0" borderId="0" xfId="0" applyNumberFormat="1" applyFont="1" applyBorder="1" applyProtection="1"/>
    <xf numFmtId="180" fontId="10" fillId="0" borderId="0" xfId="82" applyNumberFormat="1" applyFont="1" applyBorder="1" applyAlignment="1">
      <alignment horizontal="right"/>
    </xf>
    <xf numFmtId="180" fontId="10" fillId="0" borderId="0" xfId="82" applyNumberFormat="1" applyFont="1" applyFill="1" applyBorder="1" applyAlignment="1">
      <alignment horizontal="right"/>
    </xf>
    <xf numFmtId="187" fontId="6" fillId="0" borderId="0" xfId="0" applyNumberFormat="1" applyFont="1"/>
    <xf numFmtId="0" fontId="7" fillId="0" borderId="23" xfId="0" applyFont="1" applyFill="1" applyBorder="1" applyAlignment="1">
      <alignment horizontal="center"/>
    </xf>
    <xf numFmtId="187" fontId="6" fillId="0" borderId="31" xfId="0" applyNumberFormat="1" applyFont="1" applyFill="1" applyBorder="1"/>
    <xf numFmtId="9" fontId="6" fillId="0" borderId="31" xfId="127" applyFont="1" applyFill="1" applyBorder="1" applyAlignment="1">
      <alignment horizontal="center"/>
    </xf>
    <xf numFmtId="187" fontId="7" fillId="0" borderId="24" xfId="0" applyNumberFormat="1" applyFont="1" applyFill="1" applyBorder="1"/>
    <xf numFmtId="184" fontId="8" fillId="0" borderId="0" xfId="0" applyNumberFormat="1" applyFont="1" applyFill="1" applyBorder="1" applyProtection="1">
      <protection locked="0"/>
    </xf>
    <xf numFmtId="184" fontId="8" fillId="0" borderId="0" xfId="0" applyNumberFormat="1" applyFont="1" applyFill="1" applyBorder="1" applyProtection="1"/>
    <xf numFmtId="187" fontId="7" fillId="0" borderId="22" xfId="0" applyNumberFormat="1" applyFont="1" applyFill="1" applyBorder="1" applyProtection="1"/>
    <xf numFmtId="9" fontId="7" fillId="0" borderId="24" xfId="127" applyFont="1" applyFill="1" applyBorder="1" applyAlignment="1">
      <alignment horizontal="center"/>
    </xf>
    <xf numFmtId="187" fontId="7" fillId="0" borderId="50" xfId="0" applyNumberFormat="1" applyFont="1" applyFill="1" applyBorder="1"/>
    <xf numFmtId="187" fontId="7" fillId="0" borderId="58" xfId="0" applyNumberFormat="1" applyFont="1" applyFill="1" applyBorder="1"/>
    <xf numFmtId="187" fontId="7" fillId="0" borderId="46" xfId="0" applyNumberFormat="1" applyFont="1" applyFill="1" applyBorder="1" applyProtection="1"/>
    <xf numFmtId="187" fontId="6" fillId="0" borderId="46" xfId="0" applyNumberFormat="1" applyFont="1" applyFill="1" applyBorder="1" applyProtection="1"/>
    <xf numFmtId="187" fontId="6" fillId="0" borderId="46" xfId="86" applyNumberFormat="1" applyFont="1" applyFill="1" applyBorder="1" applyProtection="1"/>
    <xf numFmtId="187" fontId="7" fillId="0" borderId="55" xfId="0" applyNumberFormat="1" applyFont="1" applyFill="1" applyBorder="1"/>
    <xf numFmtId="187" fontId="6" fillId="0" borderId="13" xfId="0" applyNumberFormat="1" applyFont="1" applyFill="1" applyBorder="1"/>
    <xf numFmtId="0" fontId="0" fillId="0" borderId="0" xfId="0" applyProtection="1"/>
    <xf numFmtId="0" fontId="3" fillId="29" borderId="72" xfId="0" applyFont="1" applyFill="1" applyBorder="1" applyAlignment="1" applyProtection="1">
      <alignment horizontal="center"/>
    </xf>
    <xf numFmtId="187" fontId="6" fillId="0" borderId="10" xfId="0" applyNumberFormat="1" applyFont="1" applyFill="1" applyBorder="1" applyProtection="1"/>
    <xf numFmtId="187" fontId="6" fillId="0" borderId="26" xfId="0" applyNumberFormat="1" applyFont="1" applyFill="1" applyBorder="1" applyProtection="1"/>
    <xf numFmtId="187" fontId="6" fillId="0" borderId="37" xfId="0" applyNumberFormat="1" applyFont="1" applyFill="1" applyBorder="1" applyProtection="1"/>
    <xf numFmtId="187" fontId="6" fillId="0" borderId="54" xfId="0" applyNumberFormat="1" applyFont="1" applyFill="1" applyBorder="1" applyProtection="1"/>
    <xf numFmtId="187" fontId="6" fillId="0" borderId="66" xfId="0" applyNumberFormat="1" applyFont="1" applyFill="1" applyBorder="1" applyProtection="1"/>
    <xf numFmtId="187" fontId="6" fillId="0" borderId="81" xfId="0" applyNumberFormat="1" applyFont="1" applyFill="1" applyBorder="1" applyProtection="1"/>
    <xf numFmtId="187" fontId="6" fillId="0" borderId="51" xfId="0" applyNumberFormat="1" applyFont="1" applyFill="1" applyBorder="1" applyProtection="1"/>
    <xf numFmtId="187" fontId="7" fillId="0" borderId="10" xfId="0" applyNumberFormat="1" applyFont="1" applyFill="1" applyBorder="1" applyAlignment="1" applyProtection="1">
      <alignment vertical="top"/>
    </xf>
    <xf numFmtId="187" fontId="7" fillId="0" borderId="26" xfId="0" applyNumberFormat="1" applyFont="1" applyFill="1" applyBorder="1" applyAlignment="1" applyProtection="1">
      <alignment vertical="top"/>
    </xf>
    <xf numFmtId="187" fontId="7" fillId="0" borderId="22" xfId="0" applyNumberFormat="1" applyFont="1" applyFill="1" applyBorder="1" applyAlignment="1" applyProtection="1">
      <alignment vertical="top"/>
    </xf>
    <xf numFmtId="187" fontId="7" fillId="0" borderId="37" xfId="0" applyNumberFormat="1" applyFont="1" applyFill="1" applyBorder="1" applyAlignment="1" applyProtection="1">
      <alignment vertical="top"/>
    </xf>
    <xf numFmtId="187" fontId="7" fillId="0" borderId="46" xfId="0" applyNumberFormat="1" applyFont="1" applyFill="1" applyBorder="1" applyAlignment="1" applyProtection="1">
      <alignment vertical="top"/>
    </xf>
    <xf numFmtId="187" fontId="7" fillId="0" borderId="54" xfId="0" applyNumberFormat="1" applyFont="1" applyFill="1" applyBorder="1" applyProtection="1"/>
    <xf numFmtId="187" fontId="7" fillId="0" borderId="66" xfId="0" applyNumberFormat="1" applyFont="1" applyFill="1" applyBorder="1" applyProtection="1"/>
    <xf numFmtId="187" fontId="7" fillId="0" borderId="36" xfId="0" applyNumberFormat="1" applyFont="1" applyFill="1" applyBorder="1" applyProtection="1"/>
    <xf numFmtId="187" fontId="7" fillId="0" borderId="81" xfId="0" applyNumberFormat="1" applyFont="1" applyFill="1" applyBorder="1" applyProtection="1"/>
    <xf numFmtId="187" fontId="7" fillId="0" borderId="51" xfId="0" applyNumberFormat="1" applyFont="1" applyFill="1" applyBorder="1" applyProtection="1"/>
    <xf numFmtId="187" fontId="7" fillId="0" borderId="10" xfId="0" applyNumberFormat="1" applyFont="1" applyFill="1" applyBorder="1" applyProtection="1"/>
    <xf numFmtId="187" fontId="7" fillId="0" borderId="26" xfId="0" applyNumberFormat="1" applyFont="1" applyFill="1" applyBorder="1" applyProtection="1"/>
    <xf numFmtId="187" fontId="7" fillId="0" borderId="37" xfId="0" applyNumberFormat="1" applyFont="1" applyFill="1" applyBorder="1" applyProtection="1"/>
    <xf numFmtId="187" fontId="7" fillId="0" borderId="67" xfId="0" applyNumberFormat="1" applyFont="1" applyFill="1" applyBorder="1" applyProtection="1"/>
    <xf numFmtId="187" fontId="7" fillId="0" borderId="45" xfId="0" applyNumberFormat="1" applyFont="1" applyFill="1" applyBorder="1" applyProtection="1"/>
    <xf numFmtId="187" fontId="6" fillId="0" borderId="45" xfId="0" applyNumberFormat="1" applyFont="1" applyFill="1" applyBorder="1" applyProtection="1"/>
    <xf numFmtId="187" fontId="6" fillId="0" borderId="45" xfId="82" applyNumberFormat="1" applyFont="1" applyFill="1" applyBorder="1" applyProtection="1"/>
    <xf numFmtId="187" fontId="6" fillId="0" borderId="22" xfId="82" applyNumberFormat="1" applyFont="1" applyFill="1" applyBorder="1" applyProtection="1"/>
    <xf numFmtId="187" fontId="6" fillId="0" borderId="46" xfId="82" applyNumberFormat="1" applyFont="1" applyFill="1" applyBorder="1" applyProtection="1"/>
    <xf numFmtId="9" fontId="6" fillId="0" borderId="46" xfId="127" applyFont="1" applyFill="1" applyBorder="1" applyAlignment="1" applyProtection="1">
      <alignment horizontal="center"/>
    </xf>
    <xf numFmtId="187" fontId="6" fillId="0" borderId="46" xfId="0" applyNumberFormat="1" applyFont="1" applyFill="1" applyBorder="1" applyAlignment="1" applyProtection="1">
      <alignment horizontal="center"/>
    </xf>
    <xf numFmtId="187" fontId="6" fillId="0" borderId="51" xfId="0" applyNumberFormat="1" applyFont="1" applyFill="1" applyBorder="1" applyAlignment="1" applyProtection="1">
      <alignment horizontal="center"/>
    </xf>
    <xf numFmtId="187" fontId="6" fillId="0" borderId="67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80" fontId="6" fillId="0" borderId="0" xfId="82" applyNumberFormat="1" applyFont="1" applyFill="1" applyProtection="1"/>
    <xf numFmtId="0" fontId="0" fillId="28" borderId="0" xfId="0" applyFill="1" applyProtection="1">
      <protection locked="0"/>
    </xf>
    <xf numFmtId="0" fontId="13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34" fillId="0" borderId="14" xfId="0" applyFont="1" applyFill="1" applyBorder="1" applyAlignment="1" applyProtection="1">
      <alignment horizontal="left"/>
    </xf>
    <xf numFmtId="0" fontId="38" fillId="0" borderId="0" xfId="0" applyFont="1"/>
    <xf numFmtId="0" fontId="7" fillId="0" borderId="38" xfId="0" applyNumberFormat="1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80" fontId="10" fillId="0" borderId="0" xfId="82" applyNumberFormat="1" applyFont="1"/>
    <xf numFmtId="0" fontId="7" fillId="24" borderId="65" xfId="0" applyFont="1" applyFill="1" applyBorder="1" applyAlignment="1">
      <alignment horizontal="center" vertical="top" wrapText="1"/>
    </xf>
    <xf numFmtId="0" fontId="7" fillId="24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indent="1"/>
    </xf>
    <xf numFmtId="181" fontId="10" fillId="0" borderId="0" xfId="82" applyNumberFormat="1" applyFont="1"/>
    <xf numFmtId="0" fontId="10" fillId="0" borderId="0" xfId="0" applyFont="1" applyAlignment="1">
      <alignment horizontal="center"/>
    </xf>
    <xf numFmtId="0" fontId="37" fillId="0" borderId="26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82" fontId="6" fillId="0" borderId="0" xfId="0" applyNumberFormat="1" applyFont="1" applyFill="1"/>
    <xf numFmtId="0" fontId="10" fillId="0" borderId="0" xfId="0" applyFont="1" applyFill="1" applyBorder="1" applyAlignment="1" applyProtection="1">
      <alignment horizontal="right"/>
    </xf>
    <xf numFmtId="183" fontId="7" fillId="0" borderId="0" xfId="127" applyNumberFormat="1" applyFont="1" applyFill="1" applyBorder="1" applyAlignment="1">
      <alignment horizontal="center" vertical="top" wrapText="1"/>
    </xf>
    <xf numFmtId="187" fontId="7" fillId="0" borderId="25" xfId="0" applyNumberFormat="1" applyFont="1" applyBorder="1"/>
    <xf numFmtId="187" fontId="7" fillId="0" borderId="23" xfId="0" applyNumberFormat="1" applyFont="1" applyBorder="1"/>
    <xf numFmtId="187" fontId="7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9" fillId="0" borderId="15" xfId="0" applyNumberFormat="1" applyFont="1" applyBorder="1"/>
    <xf numFmtId="0" fontId="10" fillId="0" borderId="0" xfId="0" applyNumberFormat="1" applyFont="1" applyBorder="1" applyProtection="1"/>
    <xf numFmtId="187" fontId="6" fillId="0" borderId="37" xfId="0" applyNumberFormat="1" applyFont="1" applyBorder="1" applyProtection="1"/>
    <xf numFmtId="187" fontId="6" fillId="0" borderId="26" xfId="0" applyNumberFormat="1" applyFont="1" applyBorder="1" applyProtection="1"/>
    <xf numFmtId="187" fontId="6" fillId="0" borderId="22" xfId="0" applyNumberFormat="1" applyFont="1" applyBorder="1" applyProtection="1"/>
    <xf numFmtId="187" fontId="6" fillId="0" borderId="0" xfId="0" applyNumberFormat="1" applyFont="1" applyBorder="1" applyProtection="1"/>
    <xf numFmtId="187" fontId="6" fillId="0" borderId="13" xfId="0" applyNumberFormat="1" applyFont="1" applyBorder="1" applyProtection="1"/>
    <xf numFmtId="187" fontId="6" fillId="0" borderId="23" xfId="0" applyNumberFormat="1" applyFont="1" applyBorder="1"/>
    <xf numFmtId="9" fontId="6" fillId="0" borderId="23" xfId="127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6" fillId="0" borderId="43" xfId="0" applyNumberFormat="1" applyFont="1" applyBorder="1" applyAlignment="1" applyProtection="1">
      <alignment horizontal="center"/>
      <protection locked="0"/>
    </xf>
    <xf numFmtId="9" fontId="7" fillId="0" borderId="22" xfId="127" applyFont="1" applyFill="1" applyBorder="1" applyAlignment="1">
      <alignment horizontal="center"/>
    </xf>
    <xf numFmtId="183" fontId="7" fillId="25" borderId="29" xfId="127" applyNumberFormat="1" applyFont="1" applyFill="1" applyBorder="1" applyAlignment="1">
      <alignment horizontal="center" vertical="top" wrapText="1"/>
    </xf>
    <xf numFmtId="183" fontId="7" fillId="0" borderId="22" xfId="0" applyNumberFormat="1" applyFont="1" applyBorder="1" applyAlignment="1">
      <alignment horizontal="center"/>
    </xf>
    <xf numFmtId="183" fontId="6" fillId="0" borderId="22" xfId="127" applyNumberFormat="1" applyFont="1" applyBorder="1" applyAlignment="1">
      <alignment horizontal="center"/>
    </xf>
    <xf numFmtId="183" fontId="7" fillId="0" borderId="31" xfId="0" applyNumberFormat="1" applyFont="1" applyBorder="1"/>
    <xf numFmtId="183" fontId="6" fillId="0" borderId="22" xfId="0" applyNumberFormat="1" applyFont="1" applyBorder="1"/>
    <xf numFmtId="183" fontId="7" fillId="0" borderId="43" xfId="127" applyNumberFormat="1" applyFont="1" applyBorder="1" applyAlignment="1">
      <alignment horizontal="center"/>
    </xf>
    <xf numFmtId="183" fontId="7" fillId="0" borderId="29" xfId="127" applyNumberFormat="1" applyFont="1" applyBorder="1" applyAlignment="1">
      <alignment horizontal="center"/>
    </xf>
    <xf numFmtId="187" fontId="7" fillId="0" borderId="47" xfId="127" applyNumberFormat="1" applyFont="1" applyFill="1" applyBorder="1"/>
    <xf numFmtId="0" fontId="2" fillId="63" borderId="39" xfId="0" applyFont="1" applyFill="1" applyBorder="1" applyAlignment="1" applyProtection="1">
      <alignment horizontal="center"/>
      <protection locked="0"/>
    </xf>
    <xf numFmtId="17" fontId="2" fillId="63" borderId="12" xfId="0" quotePrefix="1" applyNumberFormat="1" applyFont="1" applyFill="1" applyBorder="1" applyProtection="1">
      <protection locked="0"/>
    </xf>
    <xf numFmtId="0" fontId="2" fillId="63" borderId="12" xfId="0" applyFont="1" applyFill="1" applyBorder="1" applyProtection="1">
      <protection locked="0"/>
    </xf>
    <xf numFmtId="0" fontId="2" fillId="63" borderId="65" xfId="0" applyFont="1" applyFill="1" applyBorder="1" applyProtection="1">
      <protection locked="0"/>
    </xf>
    <xf numFmtId="0" fontId="2" fillId="63" borderId="10" xfId="0" applyFont="1" applyFill="1" applyBorder="1" applyAlignment="1" applyProtection="1">
      <alignment horizontal="center"/>
      <protection locked="0"/>
    </xf>
    <xf numFmtId="0" fontId="2" fillId="63" borderId="0" xfId="0" applyFont="1" applyFill="1" applyBorder="1" applyProtection="1">
      <protection locked="0"/>
    </xf>
    <xf numFmtId="0" fontId="2" fillId="63" borderId="13" xfId="0" applyFont="1" applyFill="1" applyBorder="1" applyProtection="1">
      <protection locked="0"/>
    </xf>
    <xf numFmtId="0" fontId="2" fillId="63" borderId="13" xfId="0" applyFont="1" applyFill="1" applyBorder="1" applyAlignment="1" applyProtection="1">
      <alignment horizontal="center"/>
      <protection locked="0"/>
    </xf>
    <xf numFmtId="0" fontId="3" fillId="63" borderId="72" xfId="0" applyFont="1" applyFill="1" applyBorder="1" applyAlignment="1" applyProtection="1">
      <alignment horizontal="center"/>
      <protection locked="0"/>
    </xf>
    <xf numFmtId="0" fontId="2" fillId="63" borderId="0" xfId="0" applyFont="1" applyFill="1" applyAlignment="1" applyProtection="1">
      <alignment horizontal="center"/>
      <protection locked="0"/>
    </xf>
    <xf numFmtId="0" fontId="2" fillId="63" borderId="0" xfId="0" applyFont="1" applyFill="1" applyProtection="1">
      <protection locked="0"/>
    </xf>
    <xf numFmtId="0" fontId="2" fillId="63" borderId="0" xfId="0" applyFont="1" applyFill="1" applyAlignment="1" applyProtection="1">
      <alignment horizontal="left"/>
      <protection locked="0"/>
    </xf>
    <xf numFmtId="187" fontId="6" fillId="63" borderId="22" xfId="0" applyNumberFormat="1" applyFont="1" applyFill="1" applyBorder="1" applyProtection="1">
      <protection locked="0"/>
    </xf>
    <xf numFmtId="187" fontId="6" fillId="63" borderId="43" xfId="0" applyNumberFormat="1" applyFont="1" applyFill="1" applyBorder="1" applyProtection="1">
      <protection locked="0"/>
    </xf>
    <xf numFmtId="187" fontId="6" fillId="63" borderId="46" xfId="0" applyNumberFormat="1" applyFont="1" applyFill="1" applyBorder="1" applyProtection="1">
      <protection locked="0"/>
    </xf>
    <xf numFmtId="187" fontId="6" fillId="63" borderId="49" xfId="0" applyNumberFormat="1" applyFont="1" applyFill="1" applyBorder="1" applyProtection="1">
      <protection locked="0"/>
    </xf>
    <xf numFmtId="187" fontId="7" fillId="63" borderId="43" xfId="0" applyNumberFormat="1" applyFont="1" applyFill="1" applyBorder="1" applyProtection="1">
      <protection locked="0"/>
    </xf>
    <xf numFmtId="187" fontId="7" fillId="63" borderId="49" xfId="0" applyNumberFormat="1" applyFont="1" applyFill="1" applyBorder="1" applyProtection="1">
      <protection locked="0"/>
    </xf>
    <xf numFmtId="187" fontId="6" fillId="63" borderId="37" xfId="0" applyNumberFormat="1" applyFont="1" applyFill="1" applyBorder="1" applyAlignment="1" applyProtection="1">
      <alignment horizontal="right"/>
      <protection locked="0"/>
    </xf>
    <xf numFmtId="187" fontId="6" fillId="63" borderId="26" xfId="0" applyNumberFormat="1" applyFont="1" applyFill="1" applyBorder="1" applyAlignment="1" applyProtection="1">
      <alignment horizontal="right"/>
      <protection locked="0"/>
    </xf>
    <xf numFmtId="187" fontId="6" fillId="63" borderId="22" xfId="0" applyNumberFormat="1" applyFont="1" applyFill="1" applyBorder="1" applyAlignment="1" applyProtection="1">
      <alignment horizontal="right"/>
      <protection locked="0"/>
    </xf>
    <xf numFmtId="187" fontId="6" fillId="63" borderId="0" xfId="0" applyNumberFormat="1" applyFont="1" applyFill="1" applyBorder="1" applyAlignment="1" applyProtection="1">
      <alignment horizontal="right"/>
      <protection locked="0"/>
    </xf>
    <xf numFmtId="187" fontId="6" fillId="63" borderId="13" xfId="0" applyNumberFormat="1" applyFont="1" applyFill="1" applyBorder="1" applyAlignment="1" applyProtection="1">
      <alignment horizontal="right"/>
      <protection locked="0"/>
    </xf>
    <xf numFmtId="187" fontId="6" fillId="63" borderId="37" xfId="0" applyNumberFormat="1" applyFont="1" applyFill="1" applyBorder="1" applyProtection="1">
      <protection locked="0"/>
    </xf>
    <xf numFmtId="187" fontId="6" fillId="63" borderId="26" xfId="0" applyNumberFormat="1" applyFont="1" applyFill="1" applyBorder="1" applyProtection="1">
      <protection locked="0"/>
    </xf>
    <xf numFmtId="187" fontId="6" fillId="63" borderId="0" xfId="0" applyNumberFormat="1" applyFont="1" applyFill="1" applyBorder="1" applyProtection="1">
      <protection locked="0"/>
    </xf>
    <xf numFmtId="187" fontId="6" fillId="63" borderId="13" xfId="0" applyNumberFormat="1" applyFont="1" applyFill="1" applyBorder="1" applyProtection="1">
      <protection locked="0"/>
    </xf>
    <xf numFmtId="187" fontId="6" fillId="63" borderId="10" xfId="0" applyNumberFormat="1" applyFont="1" applyFill="1" applyBorder="1" applyProtection="1">
      <protection locked="0"/>
    </xf>
    <xf numFmtId="187" fontId="6" fillId="63" borderId="54" xfId="0" applyNumberFormat="1" applyFont="1" applyFill="1" applyBorder="1" applyProtection="1">
      <protection locked="0"/>
    </xf>
    <xf numFmtId="187" fontId="6" fillId="63" borderId="66" xfId="0" applyNumberFormat="1" applyFont="1" applyFill="1" applyBorder="1" applyProtection="1">
      <protection locked="0"/>
    </xf>
    <xf numFmtId="187" fontId="6" fillId="63" borderId="36" xfId="0" applyNumberFormat="1" applyFont="1" applyFill="1" applyBorder="1" applyProtection="1">
      <protection locked="0"/>
    </xf>
    <xf numFmtId="187" fontId="6" fillId="63" borderId="51" xfId="0" applyNumberFormat="1" applyFont="1" applyFill="1" applyBorder="1" applyProtection="1">
      <protection locked="0"/>
    </xf>
    <xf numFmtId="187" fontId="6" fillId="63" borderId="45" xfId="0" applyNumberFormat="1" applyFont="1" applyFill="1" applyBorder="1" applyProtection="1">
      <protection locked="0"/>
    </xf>
    <xf numFmtId="187" fontId="6" fillId="63" borderId="46" xfId="82" applyNumberFormat="1" applyFont="1" applyFill="1" applyBorder="1" applyProtection="1">
      <protection locked="0"/>
    </xf>
    <xf numFmtId="187" fontId="6" fillId="63" borderId="45" xfId="82" applyNumberFormat="1" applyFont="1" applyFill="1" applyBorder="1" applyProtection="1">
      <protection locked="0"/>
    </xf>
    <xf numFmtId="187" fontId="6" fillId="63" borderId="22" xfId="82" applyNumberFormat="1" applyFont="1" applyFill="1" applyBorder="1" applyProtection="1">
      <protection locked="0"/>
    </xf>
    <xf numFmtId="187" fontId="6" fillId="63" borderId="62" xfId="0" applyNumberFormat="1" applyFont="1" applyFill="1" applyBorder="1" applyProtection="1">
      <protection locked="0"/>
    </xf>
    <xf numFmtId="0" fontId="6" fillId="63" borderId="10" xfId="0" applyFont="1" applyFill="1" applyBorder="1" applyProtection="1">
      <protection locked="0"/>
    </xf>
    <xf numFmtId="0" fontId="6" fillId="63" borderId="19" xfId="0" applyFont="1" applyFill="1" applyBorder="1" applyProtection="1">
      <protection locked="0"/>
    </xf>
    <xf numFmtId="187" fontId="6" fillId="63" borderId="19" xfId="0" applyNumberFormat="1" applyFont="1" applyFill="1" applyBorder="1" applyProtection="1">
      <protection locked="0"/>
    </xf>
    <xf numFmtId="183" fontId="6" fillId="63" borderId="10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45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22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46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19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58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24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50" xfId="127" applyNumberFormat="1" applyFont="1" applyFill="1" applyBorder="1" applyAlignment="1" applyProtection="1">
      <alignment horizontal="center" vertical="top" wrapText="1"/>
      <protection locked="0"/>
    </xf>
    <xf numFmtId="184" fontId="6" fillId="63" borderId="0" xfId="0" applyNumberFormat="1" applyFont="1" applyFill="1" applyBorder="1" applyProtection="1">
      <protection locked="0"/>
    </xf>
    <xf numFmtId="184" fontId="6" fillId="63" borderId="13" xfId="0" applyNumberFormat="1" applyFont="1" applyFill="1" applyBorder="1" applyProtection="1">
      <protection locked="0"/>
    </xf>
    <xf numFmtId="184" fontId="6" fillId="63" borderId="0" xfId="82" applyNumberFormat="1" applyFont="1" applyFill="1" applyBorder="1" applyProtection="1">
      <protection locked="0"/>
    </xf>
    <xf numFmtId="184" fontId="6" fillId="63" borderId="13" xfId="82" applyNumberFormat="1" applyFont="1" applyFill="1" applyBorder="1" applyProtection="1">
      <protection locked="0"/>
    </xf>
    <xf numFmtId="184" fontId="6" fillId="63" borderId="14" xfId="82" applyNumberFormat="1" applyFont="1" applyFill="1" applyBorder="1" applyProtection="1">
      <protection locked="0"/>
    </xf>
    <xf numFmtId="184" fontId="6" fillId="63" borderId="14" xfId="0" applyNumberFormat="1" applyFont="1" applyFill="1" applyBorder="1" applyProtection="1">
      <protection locked="0"/>
    </xf>
    <xf numFmtId="184" fontId="6" fillId="63" borderId="17" xfId="0" applyNumberFormat="1" applyFont="1" applyFill="1" applyBorder="1" applyProtection="1">
      <protection locked="0"/>
    </xf>
    <xf numFmtId="0" fontId="6" fillId="63" borderId="11" xfId="0" applyFont="1" applyFill="1" applyBorder="1" applyProtection="1">
      <protection locked="0"/>
    </xf>
    <xf numFmtId="0" fontId="6" fillId="63" borderId="11" xfId="0" applyNumberFormat="1" applyFont="1" applyFill="1" applyBorder="1" applyAlignment="1" applyProtection="1">
      <alignment horizontal="left" indent="1"/>
      <protection locked="0"/>
    </xf>
    <xf numFmtId="0" fontId="6" fillId="63" borderId="11" xfId="0" applyFont="1" applyFill="1" applyBorder="1" applyAlignment="1" applyProtection="1">
      <alignment horizontal="left" indent="2"/>
      <protection locked="0"/>
    </xf>
    <xf numFmtId="187" fontId="6" fillId="63" borderId="67" xfId="0" applyNumberFormat="1" applyFont="1" applyFill="1" applyBorder="1" applyProtection="1">
      <protection locked="0"/>
    </xf>
    <xf numFmtId="187" fontId="6" fillId="63" borderId="52" xfId="0" applyNumberFormat="1" applyFont="1" applyFill="1" applyBorder="1" applyProtection="1">
      <protection locked="0"/>
    </xf>
    <xf numFmtId="0" fontId="10" fillId="63" borderId="11" xfId="0" applyFont="1" applyFill="1" applyBorder="1" applyAlignment="1" applyProtection="1">
      <alignment horizontal="left" indent="2"/>
      <protection locked="0"/>
    </xf>
    <xf numFmtId="0" fontId="6" fillId="63" borderId="0" xfId="0" applyFont="1" applyFill="1" applyProtection="1">
      <protection locked="0"/>
    </xf>
    <xf numFmtId="187" fontId="7" fillId="63" borderId="67" xfId="0" applyNumberFormat="1" applyFont="1" applyFill="1" applyBorder="1" applyProtection="1">
      <protection locked="0"/>
    </xf>
    <xf numFmtId="187" fontId="7" fillId="63" borderId="52" xfId="0" applyNumberFormat="1" applyFont="1" applyFill="1" applyBorder="1" applyProtection="1">
      <protection locked="0"/>
    </xf>
    <xf numFmtId="0" fontId="10" fillId="63" borderId="0" xfId="0" applyFont="1" applyFill="1" applyBorder="1" applyAlignment="1" applyProtection="1">
      <alignment horizontal="left" indent="2"/>
      <protection locked="0"/>
    </xf>
    <xf numFmtId="187" fontId="7" fillId="63" borderId="10" xfId="0" applyNumberFormat="1" applyFont="1" applyFill="1" applyBorder="1" applyProtection="1">
      <protection locked="0"/>
    </xf>
    <xf numFmtId="187" fontId="7" fillId="63" borderId="26" xfId="0" applyNumberFormat="1" applyFont="1" applyFill="1" applyBorder="1" applyProtection="1">
      <protection locked="0"/>
    </xf>
    <xf numFmtId="187" fontId="7" fillId="63" borderId="22" xfId="0" applyNumberFormat="1" applyFont="1" applyFill="1" applyBorder="1" applyProtection="1">
      <protection locked="0"/>
    </xf>
    <xf numFmtId="187" fontId="7" fillId="63" borderId="46" xfId="0" applyNumberFormat="1" applyFont="1" applyFill="1" applyBorder="1" applyProtection="1">
      <protection locked="0"/>
    </xf>
    <xf numFmtId="0" fontId="7" fillId="63" borderId="62" xfId="0" applyFont="1" applyFill="1" applyBorder="1" applyAlignment="1" applyProtection="1">
      <alignment horizontal="center" vertical="center"/>
      <protection locked="0"/>
    </xf>
    <xf numFmtId="0" fontId="7" fillId="63" borderId="36" xfId="0" applyFont="1" applyFill="1" applyBorder="1" applyAlignment="1" applyProtection="1">
      <alignment horizontal="center" vertical="center"/>
      <protection locked="0"/>
    </xf>
    <xf numFmtId="0" fontId="7" fillId="63" borderId="81" xfId="0" applyFont="1" applyFill="1" applyBorder="1" applyAlignment="1" applyProtection="1">
      <alignment horizontal="center" vertical="center"/>
      <protection locked="0"/>
    </xf>
    <xf numFmtId="0" fontId="10" fillId="63" borderId="11" xfId="0" applyFont="1" applyFill="1" applyBorder="1" applyProtection="1">
      <protection locked="0"/>
    </xf>
    <xf numFmtId="187" fontId="7" fillId="63" borderId="54" xfId="0" applyNumberFormat="1" applyFont="1" applyFill="1" applyBorder="1" applyProtection="1">
      <protection locked="0"/>
    </xf>
    <xf numFmtId="0" fontId="10" fillId="63" borderId="11" xfId="0" applyFont="1" applyFill="1" applyBorder="1" applyAlignment="1" applyProtection="1">
      <alignment horizontal="left" indent="1"/>
      <protection locked="0"/>
    </xf>
    <xf numFmtId="187" fontId="6" fillId="63" borderId="33" xfId="0" applyNumberFormat="1" applyFont="1" applyFill="1" applyBorder="1" applyProtection="1">
      <protection locked="0"/>
    </xf>
    <xf numFmtId="187" fontId="6" fillId="63" borderId="24" xfId="0" applyNumberFormat="1" applyFont="1" applyFill="1" applyBorder="1" applyProtection="1">
      <protection locked="0"/>
    </xf>
    <xf numFmtId="187" fontId="6" fillId="63" borderId="50" xfId="0" applyNumberFormat="1" applyFont="1" applyFill="1" applyBorder="1" applyProtection="1">
      <protection locked="0"/>
    </xf>
    <xf numFmtId="12" fontId="6" fillId="63" borderId="82" xfId="0" applyNumberFormat="1" applyFont="1" applyFill="1" applyBorder="1" applyProtection="1">
      <protection locked="0"/>
    </xf>
    <xf numFmtId="12" fontId="6" fillId="63" borderId="83" xfId="0" applyNumberFormat="1" applyFont="1" applyFill="1" applyBorder="1" applyProtection="1">
      <protection locked="0"/>
    </xf>
    <xf numFmtId="12" fontId="6" fillId="63" borderId="84" xfId="0" applyNumberFormat="1" applyFont="1" applyFill="1" applyBorder="1" applyProtection="1">
      <protection locked="0"/>
    </xf>
    <xf numFmtId="187" fontId="6" fillId="0" borderId="72" xfId="0" applyNumberFormat="1" applyFont="1" applyBorder="1"/>
    <xf numFmtId="0" fontId="66" fillId="64" borderId="0" xfId="0" applyFont="1" applyFill="1" applyProtection="1"/>
    <xf numFmtId="0" fontId="37" fillId="64" borderId="0" xfId="0" applyFont="1" applyFill="1" applyProtection="1">
      <protection locked="0"/>
    </xf>
    <xf numFmtId="0" fontId="66" fillId="64" borderId="0" xfId="0" applyFont="1" applyFill="1" applyAlignment="1" applyProtection="1">
      <alignment horizontal="right"/>
    </xf>
    <xf numFmtId="0" fontId="66" fillId="64" borderId="11" xfId="0" applyFont="1" applyFill="1" applyBorder="1" applyAlignment="1" applyProtection="1">
      <alignment horizontal="left" indent="1"/>
      <protection locked="0"/>
    </xf>
    <xf numFmtId="0" fontId="37" fillId="63" borderId="0" xfId="0" applyFont="1" applyFill="1" applyAlignment="1" applyProtection="1">
      <alignment horizontal="left" indent="1"/>
      <protection locked="0"/>
    </xf>
    <xf numFmtId="49" fontId="66" fillId="64" borderId="0" xfId="0" applyNumberFormat="1" applyFont="1" applyFill="1" applyAlignment="1" applyProtection="1">
      <alignment horizontal="right"/>
    </xf>
    <xf numFmtId="0" fontId="40" fillId="63" borderId="72" xfId="0" applyFont="1" applyFill="1" applyBorder="1" applyProtection="1">
      <protection locked="0"/>
    </xf>
    <xf numFmtId="49" fontId="67" fillId="64" borderId="0" xfId="0" applyNumberFormat="1" applyFont="1" applyFill="1" applyAlignment="1" applyProtection="1">
      <alignment horizontal="right"/>
    </xf>
    <xf numFmtId="0" fontId="67" fillId="64" borderId="0" xfId="0" applyFont="1" applyFill="1" applyAlignment="1" applyProtection="1">
      <alignment horizontal="right"/>
    </xf>
    <xf numFmtId="0" fontId="66" fillId="64" borderId="0" xfId="0" applyFont="1" applyFill="1" applyProtection="1">
      <protection locked="0"/>
    </xf>
    <xf numFmtId="0" fontId="68" fillId="64" borderId="0" xfId="0" applyFont="1" applyFill="1" applyProtection="1"/>
    <xf numFmtId="0" fontId="41" fillId="64" borderId="0" xfId="0" applyFont="1" applyFill="1" applyProtection="1"/>
    <xf numFmtId="0" fontId="69" fillId="64" borderId="0" xfId="0" applyFont="1" applyFill="1" applyAlignment="1" applyProtection="1">
      <alignment horizontal="right"/>
    </xf>
    <xf numFmtId="0" fontId="6" fillId="0" borderId="26" xfId="0" applyFont="1" applyFill="1" applyBorder="1" applyAlignment="1" applyProtection="1">
      <alignment horizontal="left" indent="1"/>
    </xf>
    <xf numFmtId="0" fontId="7" fillId="0" borderId="26" xfId="0" applyFont="1" applyFill="1" applyBorder="1" applyAlignment="1" applyProtection="1">
      <alignment horizontal="left" indent="1"/>
    </xf>
    <xf numFmtId="0" fontId="16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3" fillId="0" borderId="13" xfId="0" applyFont="1" applyBorder="1" applyProtection="1">
      <protection hidden="1"/>
    </xf>
    <xf numFmtId="0" fontId="5" fillId="0" borderId="85" xfId="0" applyFont="1" applyBorder="1" applyAlignment="1" applyProtection="1">
      <alignment horizontal="left" vertical="top" wrapText="1"/>
    </xf>
    <xf numFmtId="0" fontId="5" fillId="63" borderId="86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quotePrefix="1" applyNumberFormat="1" applyFont="1" applyProtection="1"/>
    <xf numFmtId="0" fontId="16" fillId="0" borderId="0" xfId="0" applyFont="1" applyAlignment="1">
      <alignment wrapText="1"/>
    </xf>
    <xf numFmtId="0" fontId="16" fillId="0" borderId="0" xfId="0" applyNumberFormat="1" applyFont="1" applyProtection="1"/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 applyProtection="1">
      <alignment vertical="center"/>
    </xf>
    <xf numFmtId="0" fontId="5" fillId="0" borderId="15" xfId="0" applyFont="1" applyBorder="1" applyAlignment="1">
      <alignment vertical="center"/>
    </xf>
    <xf numFmtId="0" fontId="16" fillId="63" borderId="65" xfId="0" applyFont="1" applyFill="1" applyBorder="1" applyAlignment="1" applyProtection="1">
      <alignment vertical="center"/>
      <protection locked="0"/>
    </xf>
    <xf numFmtId="0" fontId="10" fillId="0" borderId="0" xfId="108" applyFont="1" applyAlignment="1" applyProtection="1"/>
    <xf numFmtId="0" fontId="16" fillId="0" borderId="0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16" fillId="0" borderId="0" xfId="108" applyFont="1" applyBorder="1" applyAlignment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justify" vertical="top" wrapText="1"/>
    </xf>
    <xf numFmtId="0" fontId="5" fillId="0" borderId="17" xfId="0" applyFont="1" applyBorder="1" applyAlignment="1" applyProtection="1">
      <alignment horizontal="justify" vertical="top" wrapText="1"/>
    </xf>
    <xf numFmtId="0" fontId="5" fillId="63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</xf>
    <xf numFmtId="0" fontId="16" fillId="0" borderId="16" xfId="0" applyFont="1" applyBorder="1" applyAlignment="1" applyProtection="1">
      <alignment horizontal="justify" vertical="top" wrapText="1"/>
    </xf>
    <xf numFmtId="0" fontId="16" fillId="0" borderId="17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85" xfId="0" applyFont="1" applyBorder="1" applyAlignment="1" applyProtection="1">
      <alignment horizontal="justify" wrapText="1"/>
    </xf>
    <xf numFmtId="0" fontId="16" fillId="0" borderId="86" xfId="0" applyFont="1" applyBorder="1" applyAlignment="1" applyProtection="1">
      <alignment horizontal="justify" wrapText="1"/>
    </xf>
    <xf numFmtId="0" fontId="16" fillId="0" borderId="68" xfId="0" applyFont="1" applyBorder="1" applyAlignment="1" applyProtection="1">
      <alignment horizontal="justify" wrapText="1"/>
    </xf>
    <xf numFmtId="0" fontId="16" fillId="63" borderId="18" xfId="0" applyFont="1" applyFill="1" applyBorder="1" applyAlignment="1" applyProtection="1">
      <alignment horizontal="justify" wrapText="1"/>
      <protection locked="0"/>
    </xf>
    <xf numFmtId="0" fontId="16" fillId="0" borderId="15" xfId="0" applyFont="1" applyBorder="1" applyAlignment="1" applyProtection="1">
      <alignment horizontal="justify" wrapText="1"/>
    </xf>
    <xf numFmtId="190" fontId="16" fillId="63" borderId="65" xfId="0" applyNumberFormat="1" applyFont="1" applyFill="1" applyBorder="1" applyAlignment="1" applyProtection="1">
      <alignment horizontal="justify" wrapText="1"/>
      <protection locked="0"/>
    </xf>
    <xf numFmtId="0" fontId="16" fillId="0" borderId="16" xfId="0" applyFont="1" applyFill="1" applyBorder="1" applyAlignment="1" applyProtection="1">
      <alignment horizontal="justify" wrapText="1"/>
    </xf>
    <xf numFmtId="190" fontId="16" fillId="0" borderId="17" xfId="0" applyNumberFormat="1" applyFont="1" applyFill="1" applyBorder="1" applyAlignment="1" applyProtection="1">
      <alignment horizontal="justify" wrapText="1"/>
      <protection locked="0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 applyProtection="1">
      <alignment horizontal="justify" wrapText="1"/>
    </xf>
    <xf numFmtId="0" fontId="16" fillId="0" borderId="0" xfId="0" applyFont="1" applyFill="1" applyProtection="1">
      <protection hidden="1"/>
    </xf>
    <xf numFmtId="0" fontId="16" fillId="0" borderId="18" xfId="0" applyFont="1" applyFill="1" applyBorder="1" applyAlignment="1" applyProtection="1">
      <alignment horizontal="justify" wrapText="1"/>
    </xf>
    <xf numFmtId="0" fontId="16" fillId="63" borderId="65" xfId="0" applyFont="1" applyFill="1" applyBorder="1" applyAlignment="1" applyProtection="1">
      <alignment horizontal="justify" wrapText="1"/>
      <protection locked="0"/>
    </xf>
    <xf numFmtId="0" fontId="16" fillId="0" borderId="17" xfId="0" applyFont="1" applyFill="1" applyBorder="1" applyAlignment="1" applyProtection="1">
      <alignment horizontal="justify" wrapText="1"/>
      <protection locked="0"/>
    </xf>
    <xf numFmtId="0" fontId="16" fillId="63" borderId="18" xfId="0" applyNumberFormat="1" applyFont="1" applyFill="1" applyBorder="1" applyAlignment="1" applyProtection="1">
      <alignment horizontal="justify" wrapText="1"/>
      <protection locked="0"/>
    </xf>
    <xf numFmtId="0" fontId="16" fillId="0" borderId="11" xfId="0" applyFont="1" applyBorder="1" applyAlignment="1" applyProtection="1">
      <alignment horizontal="justify" wrapText="1"/>
    </xf>
    <xf numFmtId="0" fontId="16" fillId="63" borderId="13" xfId="0" applyFont="1" applyFill="1" applyBorder="1" applyAlignment="1" applyProtection="1">
      <alignment horizontal="justify" wrapText="1"/>
      <protection locked="0"/>
    </xf>
    <xf numFmtId="0" fontId="5" fillId="0" borderId="0" xfId="0" applyFont="1" applyBorder="1" applyProtection="1"/>
    <xf numFmtId="0" fontId="5" fillId="0" borderId="0" xfId="0" quotePrefix="1" applyNumberFormat="1" applyFont="1" applyBorder="1" applyProtection="1"/>
    <xf numFmtId="0" fontId="16" fillId="0" borderId="0" xfId="0" applyFont="1" applyBorder="1" applyProtection="1"/>
    <xf numFmtId="0" fontId="5" fillId="0" borderId="68" xfId="0" applyFont="1" applyBorder="1" applyAlignment="1" applyProtection="1">
      <alignment horizontal="left"/>
    </xf>
    <xf numFmtId="0" fontId="16" fillId="0" borderId="0" xfId="0" applyFont="1" applyBorder="1"/>
    <xf numFmtId="0" fontId="16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 applyProtection="1">
      <alignment horizontal="justify" wrapText="1"/>
      <protection locked="0"/>
    </xf>
    <xf numFmtId="0" fontId="10" fillId="0" borderId="0" xfId="0" applyFont="1" applyProtection="1"/>
    <xf numFmtId="0" fontId="10" fillId="0" borderId="0" xfId="0" applyFont="1" applyProtection="1">
      <protection hidden="1"/>
    </xf>
    <xf numFmtId="0" fontId="16" fillId="0" borderId="0" xfId="108" applyFont="1" applyAlignment="1" applyProtection="1">
      <protection hidden="1"/>
    </xf>
    <xf numFmtId="0" fontId="44" fillId="0" borderId="0" xfId="108" applyFont="1" applyAlignment="1" applyProtection="1">
      <protection hidden="1"/>
    </xf>
    <xf numFmtId="0" fontId="16" fillId="0" borderId="0" xfId="0" applyFont="1" applyProtection="1">
      <protection locked="0" hidden="1"/>
    </xf>
    <xf numFmtId="0" fontId="16" fillId="0" borderId="0" xfId="0" applyFont="1" applyProtection="1">
      <protection locked="0"/>
    </xf>
    <xf numFmtId="0" fontId="44" fillId="0" borderId="0" xfId="108" applyFont="1" applyAlignment="1" applyProtection="1">
      <protection locked="0" hidden="1"/>
    </xf>
    <xf numFmtId="0" fontId="16" fillId="0" borderId="0" xfId="0" applyFont="1" applyFill="1" applyProtection="1"/>
    <xf numFmtId="0" fontId="6" fillId="0" borderId="11" xfId="0" applyFont="1" applyBorder="1" applyProtection="1"/>
    <xf numFmtId="0" fontId="7" fillId="0" borderId="27" xfId="0" applyFont="1" applyBorder="1" applyProtection="1"/>
    <xf numFmtId="187" fontId="7" fillId="0" borderId="22" xfId="0" applyNumberFormat="1" applyFont="1" applyBorder="1" applyProtection="1"/>
    <xf numFmtId="187" fontId="7" fillId="0" borderId="45" xfId="0" applyNumberFormat="1" applyFont="1" applyBorder="1" applyProtection="1"/>
    <xf numFmtId="187" fontId="7" fillId="0" borderId="46" xfId="0" applyNumberFormat="1" applyFont="1" applyBorder="1" applyProtection="1"/>
    <xf numFmtId="0" fontId="10" fillId="0" borderId="0" xfId="0" applyNumberFormat="1" applyFont="1" applyFill="1" applyBorder="1" applyProtection="1"/>
    <xf numFmtId="9" fontId="7" fillId="0" borderId="29" xfId="0" applyNumberFormat="1" applyFont="1" applyBorder="1"/>
    <xf numFmtId="0" fontId="36" fillId="0" borderId="0" xfId="0" applyFont="1"/>
    <xf numFmtId="0" fontId="36" fillId="0" borderId="0" xfId="0" applyNumberFormat="1" applyFont="1" applyProtection="1"/>
    <xf numFmtId="0" fontId="36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Font="1" applyProtection="1"/>
    <xf numFmtId="0" fontId="2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12" fontId="6" fillId="63" borderId="18" xfId="0" applyNumberFormat="1" applyFont="1" applyFill="1" applyBorder="1" applyProtection="1">
      <protection locked="0"/>
    </xf>
    <xf numFmtId="187" fontId="6" fillId="0" borderId="39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6" fillId="0" borderId="36" xfId="0" applyNumberFormat="1" applyFont="1" applyBorder="1"/>
    <xf numFmtId="9" fontId="7" fillId="0" borderId="49" xfId="127" applyFont="1" applyFill="1" applyBorder="1" applyAlignment="1">
      <alignment horizontal="center" vertical="center" wrapText="1"/>
    </xf>
    <xf numFmtId="9" fontId="7" fillId="0" borderId="51" xfId="127" applyFont="1" applyFill="1" applyBorder="1" applyAlignment="1">
      <alignment horizontal="center" vertical="center"/>
    </xf>
    <xf numFmtId="183" fontId="7" fillId="0" borderId="46" xfId="127" applyNumberFormat="1" applyFont="1" applyFill="1" applyBorder="1" applyAlignment="1">
      <alignment horizontal="center" wrapText="1"/>
    </xf>
    <xf numFmtId="183" fontId="6" fillId="0" borderId="49" xfId="127" applyNumberFormat="1" applyFont="1" applyFill="1" applyBorder="1" applyAlignment="1">
      <alignment horizontal="center" vertical="top" wrapText="1"/>
    </xf>
    <xf numFmtId="183" fontId="7" fillId="0" borderId="49" xfId="127" applyNumberFormat="1" applyFont="1" applyFill="1" applyBorder="1" applyAlignment="1">
      <alignment horizontal="center" vertical="top" wrapText="1"/>
    </xf>
    <xf numFmtId="183" fontId="7" fillId="0" borderId="47" xfId="127" applyNumberFormat="1" applyFont="1" applyFill="1" applyBorder="1" applyAlignment="1">
      <alignment horizontal="center" vertical="top" wrapText="1"/>
    </xf>
    <xf numFmtId="183" fontId="7" fillId="0" borderId="56" xfId="127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87" fontId="6" fillId="0" borderId="11" xfId="0" applyNumberFormat="1" applyFont="1" applyBorder="1"/>
    <xf numFmtId="187" fontId="7" fillId="0" borderId="11" xfId="0" applyNumberFormat="1" applyFont="1" applyBorder="1"/>
    <xf numFmtId="187" fontId="7" fillId="0" borderId="28" xfId="0" applyNumberFormat="1" applyFont="1" applyFill="1" applyBorder="1"/>
    <xf numFmtId="0" fontId="57" fillId="63" borderId="13" xfId="106" applyFill="1" applyBorder="1" applyAlignment="1" applyProtection="1">
      <alignment horizontal="justify" vertical="top" wrapText="1"/>
      <protection locked="0"/>
    </xf>
    <xf numFmtId="49" fontId="16" fillId="63" borderId="18" xfId="0" applyNumberFormat="1" applyFont="1" applyFill="1" applyBorder="1" applyAlignment="1" applyProtection="1">
      <alignment horizontal="justify" wrapText="1"/>
      <protection locked="0"/>
    </xf>
    <xf numFmtId="0" fontId="57" fillId="63" borderId="65" xfId="106" applyFill="1" applyBorder="1" applyAlignment="1" applyProtection="1">
      <alignment horizontal="justify" wrapText="1"/>
      <protection locked="0"/>
    </xf>
    <xf numFmtId="0" fontId="57" fillId="63" borderId="18" xfId="106" applyFill="1" applyBorder="1" applyAlignment="1" applyProtection="1">
      <alignment horizontal="justify" wrapText="1"/>
      <protection locked="0"/>
    </xf>
    <xf numFmtId="186" fontId="6" fillId="63" borderId="22" xfId="0" applyNumberFormat="1" applyFont="1" applyFill="1" applyBorder="1" applyProtection="1">
      <protection locked="0"/>
    </xf>
    <xf numFmtId="186" fontId="6" fillId="63" borderId="43" xfId="0" applyNumberFormat="1" applyFont="1" applyFill="1" applyBorder="1" applyProtection="1">
      <protection locked="0"/>
    </xf>
    <xf numFmtId="186" fontId="6" fillId="63" borderId="0" xfId="0" applyNumberFormat="1" applyFont="1" applyFill="1" applyBorder="1" applyAlignment="1" applyProtection="1">
      <alignment horizontal="right"/>
      <protection locked="0"/>
    </xf>
    <xf numFmtId="0" fontId="3" fillId="30" borderId="68" xfId="0" applyFont="1" applyFill="1" applyBorder="1" applyAlignment="1">
      <alignment horizontal="center"/>
    </xf>
    <xf numFmtId="0" fontId="3" fillId="30" borderId="71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68" xfId="0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31" borderId="68" xfId="0" applyFont="1" applyFill="1" applyBorder="1" applyAlignment="1">
      <alignment horizontal="center"/>
    </xf>
    <xf numFmtId="0" fontId="3" fillId="31" borderId="71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justify" vertical="top" wrapText="1"/>
    </xf>
    <xf numFmtId="0" fontId="42" fillId="0" borderId="91" xfId="0" applyFont="1" applyBorder="1" applyAlignment="1" applyProtection="1">
      <alignment horizontal="justify" vertical="center" wrapText="1"/>
    </xf>
    <xf numFmtId="0" fontId="43" fillId="0" borderId="91" xfId="0" applyFont="1" applyBorder="1" applyAlignment="1">
      <alignment horizontal="justify" vertical="center" wrapText="1"/>
    </xf>
    <xf numFmtId="0" fontId="42" fillId="0" borderId="92" xfId="0" applyFont="1" applyBorder="1" applyAlignment="1" applyProtection="1">
      <alignment horizontal="justify" vertical="center"/>
    </xf>
    <xf numFmtId="0" fontId="16" fillId="0" borderId="93" xfId="0" applyFont="1" applyBorder="1" applyAlignment="1">
      <alignment horizontal="justify" vertical="center"/>
    </xf>
    <xf numFmtId="0" fontId="5" fillId="0" borderId="92" xfId="0" applyFont="1" applyBorder="1" applyAlignment="1" applyProtection="1">
      <alignment horizontal="justify" vertical="center" wrapText="1"/>
    </xf>
    <xf numFmtId="0" fontId="16" fillId="0" borderId="93" xfId="0" applyFont="1" applyBorder="1" applyAlignment="1">
      <alignment horizontal="justify" vertical="center" wrapText="1"/>
    </xf>
    <xf numFmtId="0" fontId="5" fillId="0" borderId="87" xfId="0" applyFont="1" applyBorder="1" applyAlignment="1" applyProtection="1">
      <alignment horizontal="justify" wrapText="1"/>
    </xf>
    <xf numFmtId="0" fontId="16" fillId="0" borderId="88" xfId="0" applyFont="1" applyBorder="1" applyAlignment="1">
      <alignment horizontal="justify" wrapText="1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>
      <alignment horizontal="justify" wrapText="1"/>
    </xf>
    <xf numFmtId="0" fontId="42" fillId="0" borderId="89" xfId="0" applyFont="1" applyBorder="1" applyAlignment="1" applyProtection="1">
      <alignment horizontal="justify" vertical="center" wrapText="1"/>
    </xf>
    <xf numFmtId="0" fontId="43" fillId="0" borderId="90" xfId="0" applyFont="1" applyBorder="1" applyAlignment="1">
      <alignment horizontal="justify" vertical="center" wrapText="1"/>
    </xf>
    <xf numFmtId="0" fontId="5" fillId="0" borderId="89" xfId="0" applyFont="1" applyBorder="1" applyAlignment="1" applyProtection="1">
      <alignment horizontal="justify" vertical="center" wrapText="1"/>
    </xf>
    <xf numFmtId="0" fontId="16" fillId="0" borderId="90" xfId="0" applyFont="1" applyBorder="1" applyAlignment="1">
      <alignment horizontal="justify" vertical="center" wrapText="1"/>
    </xf>
    <xf numFmtId="0" fontId="5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>
      <alignment horizontal="justify" wrapText="1"/>
    </xf>
    <xf numFmtId="0" fontId="5" fillId="0" borderId="15" xfId="0" applyFont="1" applyFill="1" applyBorder="1" applyAlignment="1" applyProtection="1">
      <alignment horizontal="justify" wrapText="1"/>
    </xf>
    <xf numFmtId="0" fontId="16" fillId="0" borderId="65" xfId="0" applyFont="1" applyFill="1" applyBorder="1" applyAlignment="1">
      <alignment horizontal="justify" wrapText="1"/>
    </xf>
    <xf numFmtId="0" fontId="10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center" vertical="center"/>
    </xf>
    <xf numFmtId="0" fontId="38" fillId="0" borderId="10" xfId="0" applyFont="1" applyBorder="1"/>
    <xf numFmtId="0" fontId="7" fillId="0" borderId="9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24" borderId="68" xfId="0" applyFont="1" applyFill="1" applyBorder="1" applyAlignment="1">
      <alignment horizontal="center" vertical="center" wrapText="1"/>
    </xf>
    <xf numFmtId="0" fontId="38" fillId="0" borderId="71" xfId="0" applyFont="1" applyBorder="1"/>
    <xf numFmtId="0" fontId="38" fillId="0" borderId="18" xfId="0" applyFont="1" applyBorder="1"/>
    <xf numFmtId="0" fontId="7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5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94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8" fillId="0" borderId="11" xfId="0" applyFont="1" applyBorder="1"/>
    <xf numFmtId="0" fontId="7" fillId="0" borderId="3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1 2" xfId="38"/>
    <cellStyle name="60% - Accent1 3" xfId="39"/>
    <cellStyle name="60% - Accent2" xfId="40" builtinId="36" customBuiltin="1"/>
    <cellStyle name="60% - Accent2 2" xfId="41"/>
    <cellStyle name="60% - Accent2 3" xfId="42"/>
    <cellStyle name="60% - Accent3" xfId="43" builtinId="40" customBuiltin="1"/>
    <cellStyle name="60% - Accent3 2" xfId="44"/>
    <cellStyle name="60% - Accent3 3" xfId="45"/>
    <cellStyle name="60% - Accent4" xfId="46" builtinId="44" customBuiltin="1"/>
    <cellStyle name="60% - Accent4 2" xfId="47"/>
    <cellStyle name="60% - Accent4 3" xfId="48"/>
    <cellStyle name="60% - Accent5" xfId="49" builtinId="48" customBuiltin="1"/>
    <cellStyle name="60% - Accent5 2" xfId="50"/>
    <cellStyle name="60% - Accent5 3" xfId="51"/>
    <cellStyle name="60% - Accent6" xfId="52" builtinId="52" customBuiltin="1"/>
    <cellStyle name="60% - Accent6 2" xfId="53"/>
    <cellStyle name="60% - Accent6 3" xfId="54"/>
    <cellStyle name="Accent1" xfId="55" builtinId="29" customBuiltin="1"/>
    <cellStyle name="Accent1 2" xfId="56"/>
    <cellStyle name="Accent1 3" xfId="57"/>
    <cellStyle name="Accent2" xfId="58" builtinId="33" customBuiltin="1"/>
    <cellStyle name="Accent2 2" xfId="59"/>
    <cellStyle name="Accent2 3" xfId="60"/>
    <cellStyle name="Accent3" xfId="61" builtinId="37" customBuiltin="1"/>
    <cellStyle name="Accent3 2" xfId="62"/>
    <cellStyle name="Accent3 3" xfId="63"/>
    <cellStyle name="Accent4" xfId="64" builtinId="41" customBuiltin="1"/>
    <cellStyle name="Accent4 2" xfId="65"/>
    <cellStyle name="Accent4 3" xfId="66"/>
    <cellStyle name="Accent5" xfId="67" builtinId="45" customBuiltin="1"/>
    <cellStyle name="Accent5 2" xfId="68"/>
    <cellStyle name="Accent5 3" xfId="69"/>
    <cellStyle name="Accent6" xfId="70" builtinId="49" customBuiltin="1"/>
    <cellStyle name="Accent6 2" xfId="71"/>
    <cellStyle name="Accent6 3" xfId="72"/>
    <cellStyle name="Bad" xfId="73" builtinId="27" customBuiltin="1"/>
    <cellStyle name="Bad 2" xfId="74"/>
    <cellStyle name="Bad 3" xfId="75"/>
    <cellStyle name="Calculation" xfId="76" builtinId="22" customBuiltin="1"/>
    <cellStyle name="Calculation 2" xfId="77"/>
    <cellStyle name="Calculation 3" xfId="78"/>
    <cellStyle name="Check Cell" xfId="79" builtinId="23" customBuiltin="1"/>
    <cellStyle name="Check Cell 2" xfId="80"/>
    <cellStyle name="Check Cell 3" xfId="81"/>
    <cellStyle name="Comma" xfId="82" builtinId="3"/>
    <cellStyle name="Comma 2" xfId="83"/>
    <cellStyle name="Comma 3" xfId="84"/>
    <cellStyle name="Comma 4" xfId="85"/>
    <cellStyle name="Comma_B Schedule Municipal Adjustments Budget - 23 March 2009 cb" xfId="86"/>
    <cellStyle name="Explanatory Text" xfId="87" builtinId="53" customBuiltin="1"/>
    <cellStyle name="Explanatory Text 2" xfId="88"/>
    <cellStyle name="Explanatory Text 3" xfId="89"/>
    <cellStyle name="Followed Hyperlink" xfId="90" builtinId="9" customBuiltin="1"/>
    <cellStyle name="Good" xfId="91" builtinId="26" customBuiltin="1"/>
    <cellStyle name="Good 2" xfId="92"/>
    <cellStyle name="Good 3" xfId="93"/>
    <cellStyle name="Heading 1" xfId="94" builtinId="16" customBuiltin="1"/>
    <cellStyle name="Heading 1 2" xfId="95"/>
    <cellStyle name="Heading 1 3" xfId="96"/>
    <cellStyle name="Heading 2" xfId="97" builtinId="17" customBuiltin="1"/>
    <cellStyle name="Heading 2 2" xfId="98"/>
    <cellStyle name="Heading 2 3" xfId="99"/>
    <cellStyle name="Heading 3" xfId="100" builtinId="18" customBuiltin="1"/>
    <cellStyle name="Heading 3 2" xfId="101"/>
    <cellStyle name="Heading 3 3" xfId="102"/>
    <cellStyle name="Heading 4" xfId="103" builtinId="19" customBuiltin="1"/>
    <cellStyle name="Heading 4 2" xfId="104"/>
    <cellStyle name="Heading 4 3" xfId="105"/>
    <cellStyle name="Hyperlink" xfId="106" builtinId="8"/>
    <cellStyle name="Hyperlink 2" xfId="107"/>
    <cellStyle name="Hyperlink_AppA_Muncde_2010" xfId="108"/>
    <cellStyle name="Input" xfId="109" builtinId="20" customBuiltin="1"/>
    <cellStyle name="Input 2" xfId="110"/>
    <cellStyle name="Input 3" xfId="111"/>
    <cellStyle name="Linked Cell" xfId="112" builtinId="24" customBuiltin="1"/>
    <cellStyle name="Linked Cell 2" xfId="113"/>
    <cellStyle name="Linked Cell 3" xfId="114"/>
    <cellStyle name="Neutral" xfId="115" builtinId="28" customBuiltin="1"/>
    <cellStyle name="Neutral 2" xfId="116"/>
    <cellStyle name="Neutral 3" xfId="117"/>
    <cellStyle name="Normal" xfId="0" builtinId="0"/>
    <cellStyle name="Normal 2" xfId="118"/>
    <cellStyle name="Normal 3" xfId="119"/>
    <cellStyle name="Normal 4" xfId="120"/>
    <cellStyle name="Note" xfId="121" builtinId="10" customBuiltin="1"/>
    <cellStyle name="Note 2" xfId="122"/>
    <cellStyle name="Note 3" xfId="123"/>
    <cellStyle name="Output" xfId="124" builtinId="21" customBuiltin="1"/>
    <cellStyle name="Output 2" xfId="125"/>
    <cellStyle name="Output 3" xfId="126"/>
    <cellStyle name="Percent" xfId="127" builtinId="5"/>
    <cellStyle name="Percent 10 2" xfId="128"/>
    <cellStyle name="Percent 10 2 2" xfId="129"/>
    <cellStyle name="Percent 2" xfId="130"/>
    <cellStyle name="Percent 3" xfId="131"/>
    <cellStyle name="Title" xfId="132" builtinId="15" customBuiltin="1"/>
    <cellStyle name="Title 2" xfId="133"/>
    <cellStyle name="Title 3" xfId="134"/>
    <cellStyle name="Total" xfId="135" builtinId="25" customBuiltin="1"/>
    <cellStyle name="Total 2" xfId="136"/>
    <cellStyle name="Total 3" xfId="137"/>
    <cellStyle name="Warning Text" xfId="138" builtinId="11" customBuiltin="1"/>
    <cellStyle name="Warning Text 2" xfId="139"/>
    <cellStyle name="Warning Text 3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8412634</c:v>
                </c:pt>
                <c:pt idx="1">
                  <c:v>2570257</c:v>
                </c:pt>
                <c:pt idx="2">
                  <c:v>2676931</c:v>
                </c:pt>
                <c:pt idx="3">
                  <c:v>2620688</c:v>
                </c:pt>
                <c:pt idx="4">
                  <c:v>1368257</c:v>
                </c:pt>
                <c:pt idx="5">
                  <c:v>89336960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785664"/>
        <c:axId val="434803840"/>
        <c:axId val="0"/>
      </c:bar3DChart>
      <c:catAx>
        <c:axId val="4347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48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80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4785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2014/15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5890979.75</c:v>
                </c:pt>
                <c:pt idx="1">
                  <c:v>12004113.75</c:v>
                </c:pt>
                <c:pt idx="2">
                  <c:v>76933168.649999991</c:v>
                </c:pt>
                <c:pt idx="3">
                  <c:v>8947893.0399999991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6073175</c:v>
                </c:pt>
                <c:pt idx="1">
                  <c:v>12375375</c:v>
                </c:pt>
                <c:pt idx="2">
                  <c:v>79312545</c:v>
                </c:pt>
                <c:pt idx="3">
                  <c:v>9224632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958336"/>
        <c:axId val="434959872"/>
        <c:axId val="0"/>
      </c:bar3DChart>
      <c:catAx>
        <c:axId val="4349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49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9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4958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6607513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4025</c:v>
                </c:pt>
                <c:pt idx="8">
                  <c:v>4640128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5032448"/>
        <c:axId val="435033984"/>
        <c:axId val="0"/>
      </c:bar3DChart>
      <c:catAx>
        <c:axId val="4350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5033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0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5032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7648776</c:v>
                </c:pt>
                <c:pt idx="8">
                  <c:v>32938</c:v>
                </c:pt>
                <c:pt idx="9">
                  <c:v>2048835</c:v>
                </c:pt>
                <c:pt idx="10">
                  <c:v>4086955.5299999993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991616"/>
        <c:axId val="430993408"/>
        <c:axId val="0"/>
      </c:bar3DChart>
      <c:catAx>
        <c:axId val="4309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099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9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0991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47652521</c:v>
                </c:pt>
                <c:pt idx="8">
                  <c:v>47685459</c:v>
                </c:pt>
                <c:pt idx="9">
                  <c:v>49734294</c:v>
                </c:pt>
                <c:pt idx="10">
                  <c:v>53821249.530000001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28864"/>
        <c:axId val="435052928"/>
        <c:axId val="0"/>
      </c:bar3DChart>
      <c:catAx>
        <c:axId val="4310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505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05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31028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2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8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11" val="9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5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565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567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569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571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572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573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578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579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581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582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574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575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576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577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570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2015/16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42736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42737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6</xdr:row>
          <xdr:rowOff>47625</xdr:rowOff>
        </xdr:from>
        <xdr:to>
          <xdr:col>2</xdr:col>
          <xdr:colOff>104775</xdr:colOff>
          <xdr:row>6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19050</xdr:rowOff>
        </xdr:from>
        <xdr:to>
          <xdr:col>2</xdr:col>
          <xdr:colOff>323850</xdr:colOff>
          <xdr:row>7</xdr:row>
          <xdr:rowOff>95250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5</xdr:row>
          <xdr:rowOff>66675</xdr:rowOff>
        </xdr:from>
        <xdr:to>
          <xdr:col>2</xdr:col>
          <xdr:colOff>219075</xdr:colOff>
          <xdr:row>5</xdr:row>
          <xdr:rowOff>142875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42749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42766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95250</xdr:rowOff>
        </xdr:from>
        <xdr:to>
          <xdr:col>0</xdr:col>
          <xdr:colOff>523875</xdr:colOff>
          <xdr:row>0</xdr:row>
          <xdr:rowOff>114300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123825</xdr:rowOff>
        </xdr:from>
        <xdr:to>
          <xdr:col>0</xdr:col>
          <xdr:colOff>371475</xdr:colOff>
          <xdr:row>0</xdr:row>
          <xdr:rowOff>142875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152400</xdr:rowOff>
        </xdr:from>
        <xdr:to>
          <xdr:col>0</xdr:col>
          <xdr:colOff>523875</xdr:colOff>
          <xdr:row>1</xdr:row>
          <xdr:rowOff>0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0</xdr:row>
          <xdr:rowOff>123825</xdr:rowOff>
        </xdr:from>
        <xdr:to>
          <xdr:col>0</xdr:col>
          <xdr:colOff>523875</xdr:colOff>
          <xdr:row>0</xdr:row>
          <xdr:rowOff>142875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95250</xdr:rowOff>
        </xdr:from>
        <xdr:to>
          <xdr:col>0</xdr:col>
          <xdr:colOff>238125</xdr:colOff>
          <xdr:row>2</xdr:row>
          <xdr:rowOff>114300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133350</xdr:rowOff>
        </xdr:from>
        <xdr:to>
          <xdr:col>0</xdr:col>
          <xdr:colOff>238125</xdr:colOff>
          <xdr:row>2</xdr:row>
          <xdr:rowOff>152400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</xdr:row>
          <xdr:rowOff>28575</xdr:rowOff>
        </xdr:from>
        <xdr:to>
          <xdr:col>0</xdr:col>
          <xdr:colOff>238125</xdr:colOff>
          <xdr:row>3</xdr:row>
          <xdr:rowOff>57150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</xdr:row>
          <xdr:rowOff>76200</xdr:rowOff>
        </xdr:from>
        <xdr:to>
          <xdr:col>3</xdr:col>
          <xdr:colOff>381000</xdr:colOff>
          <xdr:row>1</xdr:row>
          <xdr:rowOff>142875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4</xdr:row>
          <xdr:rowOff>104775</xdr:rowOff>
        </xdr:from>
        <xdr:to>
          <xdr:col>2</xdr:col>
          <xdr:colOff>219075</xdr:colOff>
          <xdr:row>5</xdr:row>
          <xdr:rowOff>19050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42754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1079420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0804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0804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0804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08047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0804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2015/16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5.xml"/><Relationship Id="rId7" Type="http://schemas.openxmlformats.org/officeDocument/2006/relationships/image" Target="../media/image10.emf"/><Relationship Id="rId12" Type="http://schemas.openxmlformats.org/officeDocument/2006/relationships/image" Target="../media/image12.emf"/><Relationship Id="rId17" Type="http://schemas.openxmlformats.org/officeDocument/2006/relationships/ctrlProp" Target="../ctrlProps/ctrlProp1.xml"/><Relationship Id="rId2" Type="http://schemas.openxmlformats.org/officeDocument/2006/relationships/drawing" Target="../drawings/drawing2.xml"/><Relationship Id="rId16" Type="http://schemas.openxmlformats.org/officeDocument/2006/relationships/image" Target="../media/image14.emf"/><Relationship Id="rId20" Type="http://schemas.openxmlformats.org/officeDocument/2006/relationships/ctrlProp" Target="../ctrlProps/ctrlProp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9.emf"/><Relationship Id="rId15" Type="http://schemas.openxmlformats.org/officeDocument/2006/relationships/control" Target="../activeX/activeX7.xml"/><Relationship Id="rId10" Type="http://schemas.openxmlformats.org/officeDocument/2006/relationships/image" Target="../media/image11.emf"/><Relationship Id="rId19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13.emf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2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90" t="str">
        <f>muni&amp; " - "&amp;S71C&amp; " - "&amp;date</f>
        <v>NW385 Ramotshere Moiloa - Table C3 Monthly Budget Statement - Financial Performance (revenue and expenditure by municipal vote) - M11 May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4" x14ac:dyDescent="0.25">
      <c r="A2" s="20" t="str">
        <f>Vdesc</f>
        <v>Vote Description</v>
      </c>
      <c r="B2" s="981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24" ht="25.5" x14ac:dyDescent="0.25">
      <c r="A3" s="169"/>
      <c r="B3" s="992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3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52972000</v>
      </c>
      <c r="F6" s="45">
        <f>'C3C'!F6</f>
        <v>0</v>
      </c>
      <c r="G6" s="45">
        <f>'C3C'!G6</f>
        <v>19369805.539999999</v>
      </c>
      <c r="H6" s="45">
        <f>'C3C'!H6</f>
        <v>48557666.666666664</v>
      </c>
      <c r="I6" s="45">
        <f>G6-H6</f>
        <v>-29187861.126666665</v>
      </c>
      <c r="J6" s="729">
        <f>IF(I6=0,"",I6/H6)</f>
        <v>-0.60109686338580248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68905996</v>
      </c>
      <c r="F7" s="45">
        <f>'C3C'!F17</f>
        <v>490404</v>
      </c>
      <c r="G7" s="45">
        <f>'C3C'!G17</f>
        <v>76215646.890000001</v>
      </c>
      <c r="H7" s="45">
        <f>'C3C'!H17</f>
        <v>67592829.666666672</v>
      </c>
      <c r="I7" s="45">
        <f t="shared" ref="I7:I20" si="0">G7-H7</f>
        <v>8622817.223333329</v>
      </c>
      <c r="J7" s="729">
        <f t="shared" ref="J7:J21" si="1">IF(I7=0,"",I7/H7)</f>
        <v>0.12756999915311523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12625025.68</v>
      </c>
      <c r="F8" s="45">
        <f>'C3C'!F28</f>
        <v>0</v>
      </c>
      <c r="G8" s="45">
        <f>'C3C'!G28</f>
        <v>67550.63</v>
      </c>
      <c r="H8" s="45">
        <f>'C3C'!H28</f>
        <v>11572940.206666667</v>
      </c>
      <c r="I8" s="45">
        <f t="shared" si="0"/>
        <v>-11505389.576666666</v>
      </c>
      <c r="J8" s="729">
        <f t="shared" si="1"/>
        <v>-0.99416305374488256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180165139.39066002</v>
      </c>
      <c r="F9" s="45">
        <f>'C3C'!F39</f>
        <v>7093805</v>
      </c>
      <c r="G9" s="45">
        <f>'C3C'!G39</f>
        <v>102606829.05000001</v>
      </c>
      <c r="H9" s="45">
        <f>'C3C'!H39</f>
        <v>165151377.77477166</v>
      </c>
      <c r="I9" s="45">
        <f t="shared" si="0"/>
        <v>-62544548.724771649</v>
      </c>
      <c r="J9" s="729">
        <f t="shared" si="1"/>
        <v>-0.37871042656433646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36315589.290799975</v>
      </c>
      <c r="F10" s="45">
        <f>'C3C'!F50</f>
        <v>967185</v>
      </c>
      <c r="G10" s="45">
        <f>'C3C'!G50</f>
        <v>30348665.450000003</v>
      </c>
      <c r="H10" s="45">
        <f>'C3C'!H50</f>
        <v>33289290.183233313</v>
      </c>
      <c r="I10" s="45">
        <f t="shared" si="0"/>
        <v>-2940624.7332333103</v>
      </c>
      <c r="J10" s="729">
        <f t="shared" si="1"/>
        <v>-8.8335459153599E-2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350983750.36145997</v>
      </c>
      <c r="F21" s="74">
        <f t="shared" si="2"/>
        <v>8551394</v>
      </c>
      <c r="G21" s="74">
        <f t="shared" si="2"/>
        <v>228608497.56</v>
      </c>
      <c r="H21" s="74">
        <f t="shared" si="2"/>
        <v>326164104.49800497</v>
      </c>
      <c r="I21" s="74">
        <f t="shared" si="2"/>
        <v>-97555606.938004971</v>
      </c>
      <c r="J21" s="730">
        <f t="shared" si="1"/>
        <v>-0.29909976478911304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41463777.299999997</v>
      </c>
      <c r="F24" s="45">
        <f>'C3C'!F174</f>
        <v>2044353.33</v>
      </c>
      <c r="G24" s="45">
        <f>'C3C'!G174</f>
        <v>24641531.150000002</v>
      </c>
      <c r="H24" s="45">
        <f>'C3C'!H174</f>
        <v>38008462.524999999</v>
      </c>
      <c r="I24" s="45">
        <f t="shared" ref="I24:I38" si="3">G24-H24</f>
        <v>-13366931.374999996</v>
      </c>
      <c r="J24" s="729">
        <f t="shared" ref="J24:J29" si="4">IF(I24=0,"",I24/H24)</f>
        <v>-0.35168303285637825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87872416.560000002</v>
      </c>
      <c r="F25" s="45">
        <f>'C3C'!F185</f>
        <v>3601102.61</v>
      </c>
      <c r="G25" s="45">
        <f>'C3C'!G185</f>
        <v>42562561.410000004</v>
      </c>
      <c r="H25" s="45">
        <f>'C3C'!H185</f>
        <v>80549715.180000007</v>
      </c>
      <c r="I25" s="45">
        <f t="shared" si="3"/>
        <v>-37987153.770000003</v>
      </c>
      <c r="J25" s="729">
        <f t="shared" si="4"/>
        <v>-0.47159885897935461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32807833.519999996</v>
      </c>
      <c r="F26" s="45">
        <f>'C3C'!F196</f>
        <v>746249.55</v>
      </c>
      <c r="G26" s="45">
        <f>'C3C'!G196</f>
        <v>22382095.859999999</v>
      </c>
      <c r="H26" s="45">
        <f>'C3C'!H196</f>
        <v>30073847.393333331</v>
      </c>
      <c r="I26" s="45">
        <f t="shared" si="3"/>
        <v>-7691751.5333333313</v>
      </c>
      <c r="J26" s="729">
        <f t="shared" si="4"/>
        <v>-0.25576213886881705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80014530</v>
      </c>
      <c r="F27" s="45">
        <f>'C3C'!F207</f>
        <v>6192708.2300000004</v>
      </c>
      <c r="G27" s="45">
        <f>'C3C'!G207</f>
        <v>72389453.772391558</v>
      </c>
      <c r="H27" s="45">
        <f>'C3C'!H207</f>
        <v>73346652.5</v>
      </c>
      <c r="I27" s="45">
        <f t="shared" si="3"/>
        <v>-957198.72760844231</v>
      </c>
      <c r="J27" s="729">
        <f t="shared" si="4"/>
        <v>-1.3050339653993647E-2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41131190.256549999</v>
      </c>
      <c r="F28" s="45">
        <f>'C3C'!F218</f>
        <v>2943024.98</v>
      </c>
      <c r="G28" s="45">
        <f>'C3C'!G218</f>
        <v>22359935.209999997</v>
      </c>
      <c r="H28" s="45">
        <f>'C3C'!H218</f>
        <v>37703591.06850417</v>
      </c>
      <c r="I28" s="45">
        <f t="shared" si="3"/>
        <v>-15343655.858504172</v>
      </c>
      <c r="J28" s="729">
        <f t="shared" si="4"/>
        <v>-0.40695476010828979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283289747.63655001</v>
      </c>
      <c r="F39" s="433">
        <f t="shared" si="6"/>
        <v>15527438.699999999</v>
      </c>
      <c r="G39" s="433">
        <f t="shared" si="6"/>
        <v>184335577.40239158</v>
      </c>
      <c r="H39" s="433">
        <f t="shared" si="6"/>
        <v>259682268.66683751</v>
      </c>
      <c r="I39" s="433">
        <f t="shared" si="6"/>
        <v>-75346691.264445946</v>
      </c>
      <c r="J39" s="732">
        <f>IF(I39=0,"",I39/H39)</f>
        <v>-0.29014954178913499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67694002.724909961</v>
      </c>
      <c r="F40" s="56">
        <f t="shared" si="7"/>
        <v>-6976044.6999999993</v>
      </c>
      <c r="G40" s="56">
        <f t="shared" si="7"/>
        <v>44272920.15760842</v>
      </c>
      <c r="H40" s="56">
        <f t="shared" si="7"/>
        <v>66481835.831167459</v>
      </c>
      <c r="I40" s="56">
        <f>I21-I39</f>
        <v>-22208915.673559025</v>
      </c>
      <c r="J40" s="733">
        <f>IF(I40=0,"",I40/H40)</f>
        <v>-0.33405990366991678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2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2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M11 May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52972000</v>
      </c>
      <c r="F6" s="446">
        <f t="shared" si="0"/>
        <v>0</v>
      </c>
      <c r="G6" s="444">
        <f t="shared" si="0"/>
        <v>19369805.539999999</v>
      </c>
      <c r="H6" s="446">
        <f t="shared" si="0"/>
        <v>48557666.666666664</v>
      </c>
      <c r="I6" s="45">
        <f t="shared" ref="I6:I69" si="1">G6-H6</f>
        <v>-29187861.126666665</v>
      </c>
      <c r="J6" s="333">
        <f t="shared" ref="J6:J69" si="2">IF(I6=0,"",I6/H6)</f>
        <v>-0.60109686338580248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>
        <v>5506000</v>
      </c>
      <c r="F7" s="756"/>
      <c r="G7" s="755">
        <f>12575098.69</f>
        <v>12575098.689999999</v>
      </c>
      <c r="H7" s="756">
        <f>E7/12*11</f>
        <v>5047166.666666666</v>
      </c>
      <c r="I7" s="45">
        <f t="shared" si="1"/>
        <v>7527932.0233333334</v>
      </c>
      <c r="J7" s="333">
        <f t="shared" si="2"/>
        <v>1.4915164329822015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>
        <v>6766000</v>
      </c>
      <c r="F8" s="756"/>
      <c r="G8" s="755"/>
      <c r="H8" s="756">
        <f t="shared" ref="H8:H57" si="3">E8/12*11</f>
        <v>6202166.666666667</v>
      </c>
      <c r="I8" s="45">
        <f t="shared" si="1"/>
        <v>-6202166.666666667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>
        <v>17908000</v>
      </c>
      <c r="F9" s="756"/>
      <c r="G9" s="755"/>
      <c r="H9" s="756">
        <f t="shared" si="3"/>
        <v>16415666.666666666</v>
      </c>
      <c r="I9" s="45">
        <f t="shared" si="1"/>
        <v>-16415666.666666666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>
        <v>15312000</v>
      </c>
      <c r="F10" s="756"/>
      <c r="G10" s="755">
        <f>6794706.85+F10</f>
        <v>6794706.8499999996</v>
      </c>
      <c r="H10" s="756">
        <f t="shared" si="3"/>
        <v>14036000</v>
      </c>
      <c r="I10" s="45">
        <f t="shared" si="1"/>
        <v>-7241293.1500000004</v>
      </c>
      <c r="J10" s="333">
        <f t="shared" si="2"/>
        <v>-0.51590860287831297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>
        <v>7480000</v>
      </c>
      <c r="F11" s="756"/>
      <c r="G11" s="755"/>
      <c r="H11" s="756">
        <f t="shared" si="3"/>
        <v>6856666.666666667</v>
      </c>
      <c r="I11" s="45">
        <f t="shared" si="1"/>
        <v>-6856666.666666667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si="3"/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68905996</v>
      </c>
      <c r="F17" s="446">
        <f t="shared" si="4"/>
        <v>490404</v>
      </c>
      <c r="G17" s="444">
        <f t="shared" si="4"/>
        <v>76215646.890000001</v>
      </c>
      <c r="H17" s="446">
        <f t="shared" si="4"/>
        <v>67592829.666666672</v>
      </c>
      <c r="I17" s="45">
        <f t="shared" si="1"/>
        <v>8622817.223333329</v>
      </c>
      <c r="J17" s="333">
        <f t="shared" si="2"/>
        <v>0.12756999915311523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>
        <v>39603000</v>
      </c>
      <c r="F18" s="756">
        <v>483855</v>
      </c>
      <c r="G18" s="755">
        <f>57071364.89+F18</f>
        <v>57555219.890000001</v>
      </c>
      <c r="H18" s="756">
        <f t="shared" si="3"/>
        <v>36302750</v>
      </c>
      <c r="I18" s="45">
        <f t="shared" si="1"/>
        <v>21252469.890000001</v>
      </c>
      <c r="J18" s="333">
        <f t="shared" si="2"/>
        <v>0.58542313984477756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>
        <v>7479996</v>
      </c>
      <c r="F19" s="756">
        <v>6549</v>
      </c>
      <c r="G19" s="755">
        <f>9512878+F19</f>
        <v>9519427</v>
      </c>
      <c r="H19" s="756">
        <f t="shared" si="3"/>
        <v>6856663</v>
      </c>
      <c r="I19" s="45">
        <f t="shared" si="1"/>
        <v>2662764</v>
      </c>
      <c r="J19" s="333">
        <f t="shared" si="2"/>
        <v>0.38834692619427263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>
        <v>17666000</v>
      </c>
      <c r="F20" s="756"/>
      <c r="G20" s="755">
        <v>7724000</v>
      </c>
      <c r="H20" s="756">
        <f t="shared" si="3"/>
        <v>16193833.333333334</v>
      </c>
      <c r="I20" s="45">
        <f t="shared" si="1"/>
        <v>-8469833.333333334</v>
      </c>
      <c r="J20" s="333">
        <f t="shared" si="2"/>
        <v>-0.52302831324681209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>
        <v>4157000</v>
      </c>
      <c r="F21" s="756"/>
      <c r="G21" s="755"/>
      <c r="H21" s="756">
        <f t="shared" si="3"/>
        <v>3810583.3333333335</v>
      </c>
      <c r="I21" s="45">
        <f t="shared" si="1"/>
        <v>-3810583.3333333335</v>
      </c>
      <c r="J21" s="333">
        <f t="shared" si="2"/>
        <v>-1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>
        <v>1417000</v>
      </c>
      <c r="H22" s="756">
        <v>4429000</v>
      </c>
      <c r="I22" s="45">
        <f t="shared" si="1"/>
        <v>-3012000</v>
      </c>
      <c r="J22" s="333">
        <f t="shared" si="2"/>
        <v>-0.68006321968841721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12625025.68</v>
      </c>
      <c r="F28" s="446">
        <f t="shared" si="5"/>
        <v>0</v>
      </c>
      <c r="G28" s="444">
        <f t="shared" si="5"/>
        <v>67550.63</v>
      </c>
      <c r="H28" s="446">
        <f t="shared" si="5"/>
        <v>11572940.206666667</v>
      </c>
      <c r="I28" s="45">
        <f t="shared" si="1"/>
        <v>-11505389.576666666</v>
      </c>
      <c r="J28" s="333">
        <f t="shared" si="2"/>
        <v>-0.99416305374488256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>
        <v>10471000</v>
      </c>
      <c r="F29" s="756"/>
      <c r="G29" s="755">
        <v>36686</v>
      </c>
      <c r="H29" s="756">
        <f t="shared" si="3"/>
        <v>9598416.6666666679</v>
      </c>
      <c r="I29" s="259">
        <f t="shared" si="1"/>
        <v>-9561730.6666666679</v>
      </c>
      <c r="J29" s="333">
        <f t="shared" si="2"/>
        <v>-0.99617791128745192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>
        <v>0</v>
      </c>
      <c r="F30" s="756"/>
      <c r="G30" s="755"/>
      <c r="H30" s="756">
        <f t="shared" si="3"/>
        <v>0</v>
      </c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>
        <v>0</v>
      </c>
      <c r="F31" s="756"/>
      <c r="G31" s="755"/>
      <c r="H31" s="756">
        <f t="shared" si="3"/>
        <v>0</v>
      </c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>
        <v>0</v>
      </c>
      <c r="F32" s="756"/>
      <c r="G32" s="755"/>
      <c r="H32" s="756">
        <f t="shared" si="3"/>
        <v>0</v>
      </c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>
        <v>2154025.6799999997</v>
      </c>
      <c r="F33" s="756"/>
      <c r="G33" s="755">
        <v>30864.63</v>
      </c>
      <c r="H33" s="756">
        <f t="shared" si="3"/>
        <v>1974523.5399999998</v>
      </c>
      <c r="I33" s="45">
        <f t="shared" si="1"/>
        <v>-1943658.91</v>
      </c>
      <c r="J33" s="333">
        <f t="shared" si="2"/>
        <v>-0.98436856822684426</v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>
        <f t="shared" si="3"/>
        <v>0</v>
      </c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>
        <f t="shared" si="3"/>
        <v>0</v>
      </c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>
        <f t="shared" si="3"/>
        <v>0</v>
      </c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>
        <f t="shared" si="3"/>
        <v>0</v>
      </c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>
        <f t="shared" si="3"/>
        <v>0</v>
      </c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180165139.39066002</v>
      </c>
      <c r="F39" s="446">
        <f t="shared" si="6"/>
        <v>7093805</v>
      </c>
      <c r="G39" s="444">
        <f t="shared" si="6"/>
        <v>102606829.05000001</v>
      </c>
      <c r="H39" s="446">
        <f t="shared" si="6"/>
        <v>165151377.77477166</v>
      </c>
      <c r="I39" s="45">
        <f t="shared" si="1"/>
        <v>-62544548.724771649</v>
      </c>
      <c r="J39" s="333">
        <f t="shared" si="2"/>
        <v>-0.37871042656433646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>
        <v>76811000</v>
      </c>
      <c r="F40" s="756">
        <v>5786724</v>
      </c>
      <c r="G40" s="755">
        <f>62561948.82+F40</f>
        <v>68348672.819999993</v>
      </c>
      <c r="H40" s="756">
        <f t="shared" si="3"/>
        <v>70410083.333333343</v>
      </c>
      <c r="I40" s="45">
        <f t="shared" si="1"/>
        <v>-2061410.5133333504</v>
      </c>
      <c r="J40" s="333">
        <f t="shared" si="2"/>
        <v>-2.9277205987305561E-2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>
        <v>4983000</v>
      </c>
      <c r="F41" s="756">
        <v>211177</v>
      </c>
      <c r="G41" s="755">
        <f>1641748.14+F41</f>
        <v>1852925.14</v>
      </c>
      <c r="H41" s="756">
        <f t="shared" si="3"/>
        <v>4567750</v>
      </c>
      <c r="I41" s="45">
        <f t="shared" si="1"/>
        <v>-2714824.8600000003</v>
      </c>
      <c r="J41" s="333">
        <f t="shared" si="2"/>
        <v>-0.59434620108368463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>
        <v>29109820.84</v>
      </c>
      <c r="F42" s="756"/>
      <c r="G42" s="755">
        <f>238000-96709+2582000</f>
        <v>2723291</v>
      </c>
      <c r="H42" s="756">
        <f t="shared" si="3"/>
        <v>26684002.436666667</v>
      </c>
      <c r="I42" s="45">
        <f t="shared" si="1"/>
        <v>-23960711.436666667</v>
      </c>
      <c r="J42" s="333">
        <f t="shared" si="2"/>
        <v>-0.8979429339184174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>
        <v>27210000</v>
      </c>
      <c r="F43" s="756"/>
      <c r="G43" s="755">
        <v>19607854.229999997</v>
      </c>
      <c r="H43" s="756">
        <f t="shared" si="3"/>
        <v>24942500</v>
      </c>
      <c r="I43" s="45">
        <f t="shared" si="1"/>
        <v>-5334645.7700000033</v>
      </c>
      <c r="J43" s="333">
        <f t="shared" si="2"/>
        <v>-0.21387774962413564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>
        <v>25.550659999717027</v>
      </c>
      <c r="F44" s="756"/>
      <c r="G44" s="755"/>
      <c r="H44" s="756">
        <f t="shared" si="3"/>
        <v>23.42143833307394</v>
      </c>
      <c r="I44" s="45">
        <f t="shared" si="1"/>
        <v>-23.42143833307394</v>
      </c>
      <c r="J44" s="333">
        <f t="shared" si="2"/>
        <v>-1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>
        <v>28571293</v>
      </c>
      <c r="F45" s="756"/>
      <c r="G45" s="755">
        <v>96709</v>
      </c>
      <c r="H45" s="756">
        <f t="shared" si="3"/>
        <v>26190351.916666668</v>
      </c>
      <c r="I45" s="45">
        <f t="shared" si="1"/>
        <v>-26093642.916666668</v>
      </c>
      <c r="J45" s="333">
        <f t="shared" si="2"/>
        <v>-0.99630745702433809</v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>
        <v>13480000</v>
      </c>
      <c r="F46" s="756">
        <v>1095904</v>
      </c>
      <c r="G46" s="755">
        <f>8881472.86000001+F46</f>
        <v>9977376.8600000106</v>
      </c>
      <c r="H46" s="756">
        <f t="shared" si="3"/>
        <v>12356666.666666666</v>
      </c>
      <c r="I46" s="45">
        <f t="shared" si="1"/>
        <v>-2379289.8066666555</v>
      </c>
      <c r="J46" s="333">
        <f t="shared" si="2"/>
        <v>-0.19255110385756588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si="3"/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3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3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7">SUM(D51:D60)</f>
        <v>45261173.121859983</v>
      </c>
      <c r="E50" s="444">
        <f t="shared" si="7"/>
        <v>36315589.290799975</v>
      </c>
      <c r="F50" s="446">
        <f t="shared" si="7"/>
        <v>967185</v>
      </c>
      <c r="G50" s="444">
        <f t="shared" si="7"/>
        <v>30348665.450000003</v>
      </c>
      <c r="H50" s="446">
        <f t="shared" si="7"/>
        <v>33289290.183233313</v>
      </c>
      <c r="I50" s="45">
        <f t="shared" si="1"/>
        <v>-2940624.7332333103</v>
      </c>
      <c r="J50" s="333">
        <f t="shared" si="2"/>
        <v>-8.8335459153599E-2</v>
      </c>
      <c r="K50" s="445">
        <f t="shared" si="7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>
        <v>14135353.869999999</v>
      </c>
      <c r="F51" s="756">
        <v>602917</v>
      </c>
      <c r="G51" s="755">
        <f>7343145.3+F51</f>
        <v>7946062.2999999998</v>
      </c>
      <c r="H51" s="756">
        <f t="shared" si="3"/>
        <v>12957407.714166665</v>
      </c>
      <c r="I51" s="45">
        <f t="shared" si="1"/>
        <v>-5011345.4141666656</v>
      </c>
      <c r="J51" s="333">
        <f t="shared" si="2"/>
        <v>-0.38675524647477394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>
        <v>3002000</v>
      </c>
      <c r="F52" s="756"/>
      <c r="G52" s="755">
        <v>1250941.1499999999</v>
      </c>
      <c r="H52" s="756">
        <f t="shared" si="3"/>
        <v>2751833.333333333</v>
      </c>
      <c r="I52" s="45">
        <f t="shared" si="1"/>
        <v>-1500892.1833333331</v>
      </c>
      <c r="J52" s="333">
        <f t="shared" si="2"/>
        <v>-0.5454153655138998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>
        <v>2002000</v>
      </c>
      <c r="F53" s="756"/>
      <c r="G53" s="755">
        <v>834173.21</v>
      </c>
      <c r="H53" s="756">
        <f t="shared" si="3"/>
        <v>1835166.6666666667</v>
      </c>
      <c r="I53" s="45">
        <f t="shared" si="1"/>
        <v>-1000993.4566666668</v>
      </c>
      <c r="J53" s="333">
        <f t="shared" si="2"/>
        <v>-0.54545097992916181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>
        <v>5968083.225099992</v>
      </c>
      <c r="F54" s="756">
        <v>364268</v>
      </c>
      <c r="G54" s="755">
        <f>9607076.19+F54</f>
        <v>9971344.1899999995</v>
      </c>
      <c r="H54" s="756">
        <f t="shared" si="3"/>
        <v>5470742.9563416587</v>
      </c>
      <c r="I54" s="45">
        <f t="shared" si="1"/>
        <v>4500601.2336583408</v>
      </c>
      <c r="J54" s="333">
        <f t="shared" si="2"/>
        <v>0.82266728113066723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>
        <v>518152.19569999055</v>
      </c>
      <c r="F55" s="756"/>
      <c r="G55" s="755">
        <v>258037.6</v>
      </c>
      <c r="H55" s="756">
        <f t="shared" si="3"/>
        <v>474972.84605832468</v>
      </c>
      <c r="I55" s="45">
        <f t="shared" si="1"/>
        <v>-216935.24605832467</v>
      </c>
      <c r="J55" s="333">
        <f t="shared" si="2"/>
        <v>-0.45673189079883936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>
        <v>635000</v>
      </c>
      <c r="F56" s="756"/>
      <c r="G56" s="755">
        <v>33107</v>
      </c>
      <c r="H56" s="756">
        <f t="shared" si="3"/>
        <v>582083.33333333326</v>
      </c>
      <c r="I56" s="45">
        <f t="shared" si="1"/>
        <v>-548976.33333333326</v>
      </c>
      <c r="J56" s="333">
        <f t="shared" si="2"/>
        <v>-0.94312326413743741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>
        <v>10055000</v>
      </c>
      <c r="F57" s="756"/>
      <c r="G57" s="755">
        <v>10055000</v>
      </c>
      <c r="H57" s="756">
        <f t="shared" si="3"/>
        <v>9217083.3333333321</v>
      </c>
      <c r="I57" s="45">
        <f t="shared" si="1"/>
        <v>837916.66666666791</v>
      </c>
      <c r="J57" s="333">
        <f t="shared" si="2"/>
        <v>9.090909090909105E-2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8">SUM(D62:D71)</f>
        <v>0</v>
      </c>
      <c r="E61" s="444">
        <f t="shared" si="8"/>
        <v>0</v>
      </c>
      <c r="F61" s="446">
        <f t="shared" si="8"/>
        <v>0</v>
      </c>
      <c r="G61" s="444">
        <f t="shared" si="8"/>
        <v>0</v>
      </c>
      <c r="H61" s="446">
        <f t="shared" si="8"/>
        <v>0</v>
      </c>
      <c r="I61" s="45">
        <f t="shared" si="1"/>
        <v>0</v>
      </c>
      <c r="J61" s="333" t="str">
        <f t="shared" si="2"/>
        <v/>
      </c>
      <c r="K61" s="445">
        <f t="shared" si="8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9">G70-H70</f>
        <v>0</v>
      </c>
      <c r="J70" s="333" t="str">
        <f t="shared" ref="J70:J133" si="10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9"/>
        <v>0</v>
      </c>
      <c r="J71" s="333" t="str">
        <f t="shared" si="10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1">SUM(C73:C82)</f>
        <v>0</v>
      </c>
      <c r="D72" s="447">
        <f t="shared" si="11"/>
        <v>0</v>
      </c>
      <c r="E72" s="444">
        <f t="shared" si="11"/>
        <v>0</v>
      </c>
      <c r="F72" s="446">
        <f t="shared" si="11"/>
        <v>0</v>
      </c>
      <c r="G72" s="444">
        <f t="shared" si="11"/>
        <v>0</v>
      </c>
      <c r="H72" s="446">
        <f t="shared" si="11"/>
        <v>0</v>
      </c>
      <c r="I72" s="45">
        <f t="shared" si="9"/>
        <v>0</v>
      </c>
      <c r="J72" s="333" t="str">
        <f t="shared" si="10"/>
        <v/>
      </c>
      <c r="K72" s="445">
        <f t="shared" si="11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9"/>
        <v>0</v>
      </c>
      <c r="J73" s="333" t="str">
        <f t="shared" si="10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9"/>
        <v>0</v>
      </c>
      <c r="J74" s="333" t="str">
        <f t="shared" si="10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9"/>
        <v>0</v>
      </c>
      <c r="J75" s="333" t="str">
        <f t="shared" si="10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9"/>
        <v>0</v>
      </c>
      <c r="J76" s="333" t="str">
        <f t="shared" si="10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9"/>
        <v>0</v>
      </c>
      <c r="J77" s="333" t="str">
        <f t="shared" si="10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9"/>
        <v>0</v>
      </c>
      <c r="J78" s="333" t="str">
        <f t="shared" si="10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9"/>
        <v>0</v>
      </c>
      <c r="J79" s="333" t="str">
        <f t="shared" si="10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9"/>
        <v>0</v>
      </c>
      <c r="J80" s="333" t="str">
        <f t="shared" si="10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9"/>
        <v>0</v>
      </c>
      <c r="J81" s="333" t="str">
        <f t="shared" si="10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9"/>
        <v>0</v>
      </c>
      <c r="J82" s="333" t="str">
        <f t="shared" si="10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2">SUM(D84:D93)</f>
        <v>0</v>
      </c>
      <c r="E83" s="444">
        <f t="shared" si="12"/>
        <v>0</v>
      </c>
      <c r="F83" s="446">
        <f t="shared" si="12"/>
        <v>0</v>
      </c>
      <c r="G83" s="444">
        <f t="shared" si="12"/>
        <v>0</v>
      </c>
      <c r="H83" s="446">
        <f t="shared" si="12"/>
        <v>0</v>
      </c>
      <c r="I83" s="45">
        <f t="shared" si="9"/>
        <v>0</v>
      </c>
      <c r="J83" s="333" t="str">
        <f t="shared" si="10"/>
        <v/>
      </c>
      <c r="K83" s="445">
        <f t="shared" si="12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9"/>
        <v>0</v>
      </c>
      <c r="J84" s="333" t="str">
        <f t="shared" si="10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9"/>
        <v>0</v>
      </c>
      <c r="J85" s="333" t="str">
        <f t="shared" si="10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9"/>
        <v>0</v>
      </c>
      <c r="J86" s="333" t="str">
        <f t="shared" si="10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9"/>
        <v>0</v>
      </c>
      <c r="J87" s="333" t="str">
        <f t="shared" si="10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9"/>
        <v>0</v>
      </c>
      <c r="J88" s="333" t="str">
        <f t="shared" si="10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9"/>
        <v>0</v>
      </c>
      <c r="J89" s="333" t="str">
        <f t="shared" si="10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9"/>
        <v>0</v>
      </c>
      <c r="J90" s="333" t="str">
        <f t="shared" si="10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9"/>
        <v>0</v>
      </c>
      <c r="J91" s="333" t="str">
        <f t="shared" si="10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9"/>
        <v>0</v>
      </c>
      <c r="J92" s="333" t="str">
        <f t="shared" si="10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9"/>
        <v>0</v>
      </c>
      <c r="J93" s="333" t="str">
        <f t="shared" si="10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3">SUM(D95:D104)</f>
        <v>0</v>
      </c>
      <c r="E94" s="444">
        <f t="shared" si="13"/>
        <v>0</v>
      </c>
      <c r="F94" s="446">
        <f t="shared" si="13"/>
        <v>0</v>
      </c>
      <c r="G94" s="444">
        <f t="shared" si="13"/>
        <v>0</v>
      </c>
      <c r="H94" s="446">
        <f t="shared" si="13"/>
        <v>0</v>
      </c>
      <c r="I94" s="45">
        <f t="shared" si="9"/>
        <v>0</v>
      </c>
      <c r="J94" s="333" t="str">
        <f t="shared" si="10"/>
        <v/>
      </c>
      <c r="K94" s="445">
        <f t="shared" si="13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9"/>
        <v>0</v>
      </c>
      <c r="J95" s="333" t="str">
        <f t="shared" si="10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9"/>
        <v>0</v>
      </c>
      <c r="J96" s="333" t="str">
        <f t="shared" si="10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9"/>
        <v>0</v>
      </c>
      <c r="J97" s="333" t="str">
        <f t="shared" si="10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9"/>
        <v>0</v>
      </c>
      <c r="J98" s="333" t="str">
        <f t="shared" si="10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9"/>
        <v>0</v>
      </c>
      <c r="J99" s="333" t="str">
        <f t="shared" si="10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9"/>
        <v>0</v>
      </c>
      <c r="J100" s="333" t="str">
        <f t="shared" si="10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9"/>
        <v>0</v>
      </c>
      <c r="J101" s="333" t="str">
        <f t="shared" si="10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9"/>
        <v>0</v>
      </c>
      <c r="J102" s="333" t="str">
        <f t="shared" si="10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9"/>
        <v>0</v>
      </c>
      <c r="J103" s="333" t="str">
        <f t="shared" si="10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9"/>
        <v>0</v>
      </c>
      <c r="J104" s="333" t="str">
        <f t="shared" si="10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4">SUM(D106:D115)</f>
        <v>0</v>
      </c>
      <c r="E105" s="444">
        <f t="shared" si="14"/>
        <v>0</v>
      </c>
      <c r="F105" s="446">
        <f t="shared" si="14"/>
        <v>0</v>
      </c>
      <c r="G105" s="444">
        <f t="shared" si="14"/>
        <v>0</v>
      </c>
      <c r="H105" s="446">
        <f t="shared" si="14"/>
        <v>0</v>
      </c>
      <c r="I105" s="45">
        <f t="shared" si="9"/>
        <v>0</v>
      </c>
      <c r="J105" s="333" t="str">
        <f t="shared" si="10"/>
        <v/>
      </c>
      <c r="K105" s="445">
        <f t="shared" si="14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9"/>
        <v>0</v>
      </c>
      <c r="J106" s="333" t="str">
        <f t="shared" si="10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9"/>
        <v>0</v>
      </c>
      <c r="J107" s="333" t="str">
        <f t="shared" si="10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9"/>
        <v>0</v>
      </c>
      <c r="J108" s="333" t="str">
        <f t="shared" si="10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9"/>
        <v>0</v>
      </c>
      <c r="J109" s="333" t="str">
        <f t="shared" si="10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9"/>
        <v>0</v>
      </c>
      <c r="J110" s="333" t="str">
        <f t="shared" si="10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9"/>
        <v>0</v>
      </c>
      <c r="J111" s="333" t="str">
        <f t="shared" si="10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9"/>
        <v>0</v>
      </c>
      <c r="J112" s="333" t="str">
        <f t="shared" si="10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9"/>
        <v>0</v>
      </c>
      <c r="J113" s="333" t="str">
        <f t="shared" si="10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9"/>
        <v>0</v>
      </c>
      <c r="J114" s="333" t="str">
        <f t="shared" si="10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9"/>
        <v>0</v>
      </c>
      <c r="J115" s="333" t="str">
        <f t="shared" si="10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5">SUM(D117:D126)</f>
        <v>0</v>
      </c>
      <c r="E116" s="444">
        <f t="shared" si="15"/>
        <v>0</v>
      </c>
      <c r="F116" s="446">
        <f t="shared" si="15"/>
        <v>0</v>
      </c>
      <c r="G116" s="444">
        <f t="shared" si="15"/>
        <v>0</v>
      </c>
      <c r="H116" s="446">
        <f t="shared" si="15"/>
        <v>0</v>
      </c>
      <c r="I116" s="45">
        <f t="shared" si="9"/>
        <v>0</v>
      </c>
      <c r="J116" s="333" t="str">
        <f t="shared" si="10"/>
        <v/>
      </c>
      <c r="K116" s="445">
        <f t="shared" si="15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9"/>
        <v>0</v>
      </c>
      <c r="J117" s="333" t="str">
        <f t="shared" si="10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9"/>
        <v>0</v>
      </c>
      <c r="J118" s="333" t="str">
        <f t="shared" si="10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9"/>
        <v>0</v>
      </c>
      <c r="J119" s="333" t="str">
        <f t="shared" si="10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9"/>
        <v>0</v>
      </c>
      <c r="J120" s="333" t="str">
        <f t="shared" si="10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9"/>
        <v>0</v>
      </c>
      <c r="J121" s="333" t="str">
        <f t="shared" si="10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9"/>
        <v>0</v>
      </c>
      <c r="J122" s="333" t="str">
        <f t="shared" si="10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9"/>
        <v>0</v>
      </c>
      <c r="J123" s="333" t="str">
        <f t="shared" si="10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9"/>
        <v>0</v>
      </c>
      <c r="J124" s="333" t="str">
        <f t="shared" si="10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9"/>
        <v>0</v>
      </c>
      <c r="J125" s="333" t="str">
        <f t="shared" si="10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9"/>
        <v>0</v>
      </c>
      <c r="J126" s="333" t="str">
        <f t="shared" si="10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6">SUM(D128:D137)</f>
        <v>0</v>
      </c>
      <c r="E127" s="444">
        <f t="shared" si="16"/>
        <v>0</v>
      </c>
      <c r="F127" s="446">
        <f t="shared" si="16"/>
        <v>0</v>
      </c>
      <c r="G127" s="444">
        <f t="shared" si="16"/>
        <v>0</v>
      </c>
      <c r="H127" s="446">
        <f t="shared" si="16"/>
        <v>0</v>
      </c>
      <c r="I127" s="45">
        <f t="shared" si="9"/>
        <v>0</v>
      </c>
      <c r="J127" s="333" t="str">
        <f t="shared" si="10"/>
        <v/>
      </c>
      <c r="K127" s="445">
        <f t="shared" si="16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9"/>
        <v>0</v>
      </c>
      <c r="J128" s="333" t="str">
        <f t="shared" si="10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9"/>
        <v>0</v>
      </c>
      <c r="J129" s="333" t="str">
        <f t="shared" si="10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9"/>
        <v>0</v>
      </c>
      <c r="J130" s="333" t="str">
        <f t="shared" si="10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9"/>
        <v>0</v>
      </c>
      <c r="J131" s="333" t="str">
        <f t="shared" si="10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9"/>
        <v>0</v>
      </c>
      <c r="J132" s="333" t="str">
        <f t="shared" si="10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9"/>
        <v>0</v>
      </c>
      <c r="J133" s="333" t="str">
        <f t="shared" si="10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7">G134-H134</f>
        <v>0</v>
      </c>
      <c r="J134" s="333" t="str">
        <f t="shared" ref="J134:J197" si="18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7"/>
        <v>0</v>
      </c>
      <c r="J135" s="333" t="str">
        <f t="shared" si="18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7"/>
        <v>0</v>
      </c>
      <c r="J136" s="333" t="str">
        <f t="shared" si="18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7"/>
        <v>0</v>
      </c>
      <c r="J137" s="333" t="str">
        <f t="shared" si="18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9">SUM(D139:D148)</f>
        <v>0</v>
      </c>
      <c r="E138" s="444">
        <f t="shared" si="19"/>
        <v>0</v>
      </c>
      <c r="F138" s="446">
        <f t="shared" si="19"/>
        <v>0</v>
      </c>
      <c r="G138" s="444">
        <f t="shared" si="19"/>
        <v>0</v>
      </c>
      <c r="H138" s="446">
        <f t="shared" si="19"/>
        <v>0</v>
      </c>
      <c r="I138" s="45">
        <f t="shared" si="17"/>
        <v>0</v>
      </c>
      <c r="J138" s="333" t="str">
        <f t="shared" si="18"/>
        <v/>
      </c>
      <c r="K138" s="445">
        <f t="shared" si="19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7"/>
        <v>0</v>
      </c>
      <c r="J139" s="333" t="str">
        <f t="shared" si="18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7"/>
        <v>0</v>
      </c>
      <c r="J140" s="333" t="str">
        <f t="shared" si="18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7"/>
        <v>0</v>
      </c>
      <c r="J141" s="333" t="str">
        <f t="shared" si="18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7"/>
        <v>0</v>
      </c>
      <c r="J142" s="333" t="str">
        <f t="shared" si="18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7"/>
        <v>0</v>
      </c>
      <c r="J143" s="333" t="str">
        <f t="shared" si="18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7"/>
        <v>0</v>
      </c>
      <c r="J144" s="333" t="str">
        <f t="shared" si="18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7"/>
        <v>0</v>
      </c>
      <c r="J145" s="333" t="str">
        <f t="shared" si="18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7"/>
        <v>0</v>
      </c>
      <c r="J146" s="333" t="str">
        <f t="shared" si="18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7"/>
        <v>0</v>
      </c>
      <c r="J147" s="333" t="str">
        <f t="shared" si="18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7"/>
        <v>0</v>
      </c>
      <c r="J148" s="333" t="str">
        <f t="shared" si="18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0">SUM(D150:D159)</f>
        <v>0</v>
      </c>
      <c r="E149" s="444">
        <f t="shared" si="20"/>
        <v>0</v>
      </c>
      <c r="F149" s="446">
        <f t="shared" si="20"/>
        <v>0</v>
      </c>
      <c r="G149" s="444">
        <f t="shared" si="20"/>
        <v>0</v>
      </c>
      <c r="H149" s="446">
        <f t="shared" si="20"/>
        <v>0</v>
      </c>
      <c r="I149" s="45">
        <f t="shared" si="17"/>
        <v>0</v>
      </c>
      <c r="J149" s="333" t="str">
        <f t="shared" si="18"/>
        <v/>
      </c>
      <c r="K149" s="445">
        <f t="shared" si="20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7"/>
        <v>0</v>
      </c>
      <c r="J150" s="333" t="str">
        <f t="shared" si="18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7"/>
        <v>0</v>
      </c>
      <c r="J151" s="333" t="str">
        <f t="shared" si="18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7"/>
        <v>0</v>
      </c>
      <c r="J152" s="333" t="str">
        <f t="shared" si="18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7"/>
        <v>0</v>
      </c>
      <c r="J153" s="333" t="str">
        <f t="shared" si="18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7"/>
        <v>0</v>
      </c>
      <c r="J154" s="333" t="str">
        <f t="shared" si="18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7"/>
        <v>0</v>
      </c>
      <c r="J155" s="333" t="str">
        <f t="shared" si="18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7"/>
        <v>0</v>
      </c>
      <c r="J156" s="333" t="str">
        <f t="shared" si="18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7"/>
        <v>0</v>
      </c>
      <c r="J157" s="333" t="str">
        <f t="shared" si="18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7"/>
        <v>0</v>
      </c>
      <c r="J158" s="333" t="str">
        <f t="shared" si="18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7"/>
        <v>0</v>
      </c>
      <c r="J159" s="333" t="str">
        <f t="shared" si="18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1">SUM(D161:D170)</f>
        <v>0</v>
      </c>
      <c r="E160" s="444">
        <f t="shared" si="21"/>
        <v>0</v>
      </c>
      <c r="F160" s="446">
        <f t="shared" si="21"/>
        <v>0</v>
      </c>
      <c r="G160" s="444">
        <f t="shared" si="21"/>
        <v>0</v>
      </c>
      <c r="H160" s="446">
        <f t="shared" si="21"/>
        <v>0</v>
      </c>
      <c r="I160" s="45">
        <f t="shared" si="17"/>
        <v>0</v>
      </c>
      <c r="J160" s="333" t="str">
        <f t="shared" si="18"/>
        <v/>
      </c>
      <c r="K160" s="445">
        <f t="shared" si="21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7"/>
        <v>0</v>
      </c>
      <c r="J161" s="333" t="str">
        <f t="shared" si="18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7"/>
        <v>0</v>
      </c>
      <c r="J162" s="333" t="str">
        <f t="shared" si="18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7"/>
        <v>0</v>
      </c>
      <c r="J163" s="333" t="str">
        <f t="shared" si="18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7"/>
        <v>0</v>
      </c>
      <c r="J164" s="333" t="str">
        <f t="shared" si="18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7"/>
        <v>0</v>
      </c>
      <c r="J165" s="333" t="str">
        <f t="shared" si="18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7"/>
        <v>0</v>
      </c>
      <c r="J166" s="333" t="str">
        <f t="shared" si="18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7"/>
        <v>0</v>
      </c>
      <c r="J167" s="333" t="str">
        <f t="shared" si="18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7"/>
        <v>0</v>
      </c>
      <c r="J168" s="333" t="str">
        <f t="shared" si="18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7"/>
        <v>0</v>
      </c>
      <c r="J169" s="333" t="str">
        <f t="shared" si="18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7"/>
        <v>0</v>
      </c>
      <c r="J170" s="333" t="str">
        <f t="shared" si="18"/>
        <v/>
      </c>
      <c r="K170" s="757"/>
      <c r="L170" s="455">
        <f t="shared" ref="L170:W170" si="22">SUM(L78:L81)</f>
        <v>0</v>
      </c>
      <c r="M170" s="456">
        <f t="shared" si="22"/>
        <v>0</v>
      </c>
      <c r="N170" s="456">
        <f t="shared" si="22"/>
        <v>0</v>
      </c>
      <c r="O170" s="456">
        <f t="shared" si="22"/>
        <v>0</v>
      </c>
      <c r="P170" s="456">
        <f t="shared" si="22"/>
        <v>0</v>
      </c>
      <c r="Q170" s="456">
        <f t="shared" si="22"/>
        <v>0</v>
      </c>
      <c r="R170" s="456">
        <f t="shared" si="22"/>
        <v>0</v>
      </c>
      <c r="S170" s="456">
        <f t="shared" si="22"/>
        <v>0</v>
      </c>
      <c r="T170" s="456">
        <f t="shared" si="22"/>
        <v>0</v>
      </c>
      <c r="U170" s="456">
        <f t="shared" si="22"/>
        <v>0</v>
      </c>
      <c r="V170" s="456">
        <f t="shared" si="22"/>
        <v>0</v>
      </c>
      <c r="W170" s="456">
        <f t="shared" si="22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3">D6+D17+D28+D39+D50+D61+D72+D83+D94+D105+D116+D127+D138+D149+D160</f>
        <v>362208835.51280409</v>
      </c>
      <c r="E171" s="451">
        <f t="shared" si="23"/>
        <v>350983750.36145997</v>
      </c>
      <c r="F171" s="453">
        <f t="shared" si="23"/>
        <v>8551394</v>
      </c>
      <c r="G171" s="451">
        <f t="shared" si="23"/>
        <v>228608497.56</v>
      </c>
      <c r="H171" s="453">
        <f t="shared" si="23"/>
        <v>326164104.49800497</v>
      </c>
      <c r="I171" s="517">
        <f t="shared" si="17"/>
        <v>-97555606.938004971</v>
      </c>
      <c r="J171" s="518">
        <f t="shared" si="18"/>
        <v>-0.29909976478911304</v>
      </c>
      <c r="K171" s="452">
        <f t="shared" si="23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7"/>
        <v>0</v>
      </c>
      <c r="J172" s="134" t="str">
        <f t="shared" si="18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7"/>
        <v>0</v>
      </c>
      <c r="J173" s="333" t="str">
        <f t="shared" si="18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4">SUM(C175:C184)</f>
        <v>22018516</v>
      </c>
      <c r="D174" s="474">
        <f t="shared" si="24"/>
        <v>41624569.556634203</v>
      </c>
      <c r="E174" s="471">
        <f t="shared" si="24"/>
        <v>41463777.299999997</v>
      </c>
      <c r="F174" s="473">
        <f t="shared" si="24"/>
        <v>2044353.33</v>
      </c>
      <c r="G174" s="473">
        <f t="shared" si="24"/>
        <v>24641531.150000002</v>
      </c>
      <c r="H174" s="473">
        <f t="shared" si="24"/>
        <v>38008462.524999999</v>
      </c>
      <c r="I174" s="45">
        <f t="shared" si="17"/>
        <v>-13366931.374999996</v>
      </c>
      <c r="J174" s="333">
        <f t="shared" si="18"/>
        <v>-0.35168303285637825</v>
      </c>
      <c r="K174" s="472">
        <f t="shared" si="24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>
        <v>4703078.9000000004</v>
      </c>
      <c r="F175" s="760">
        <v>1420944.99</v>
      </c>
      <c r="G175" s="747">
        <f>6739266+F175</f>
        <v>8160210.9900000002</v>
      </c>
      <c r="H175" s="756">
        <f t="shared" ref="H175:H217" si="25">E175/12*11</f>
        <v>4311155.6583333332</v>
      </c>
      <c r="I175" s="45">
        <f t="shared" si="17"/>
        <v>3849055.331666667</v>
      </c>
      <c r="J175" s="333">
        <f t="shared" si="18"/>
        <v>0.89281288747404886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>
        <v>5366819.95</v>
      </c>
      <c r="F176" s="760"/>
      <c r="G176" s="747">
        <v>6739266</v>
      </c>
      <c r="H176" s="756">
        <f t="shared" si="25"/>
        <v>4919584.9541666666</v>
      </c>
      <c r="I176" s="45">
        <f t="shared" si="17"/>
        <v>1819681.0458333334</v>
      </c>
      <c r="J176" s="333">
        <f t="shared" si="18"/>
        <v>0.36988507420573064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>
        <v>14621242.720000001</v>
      </c>
      <c r="F177" s="760"/>
      <c r="G177" s="747">
        <v>6739266</v>
      </c>
      <c r="H177" s="756">
        <f t="shared" si="25"/>
        <v>13402805.826666666</v>
      </c>
      <c r="I177" s="45">
        <f t="shared" si="17"/>
        <v>-6663539.8266666662</v>
      </c>
      <c r="J177" s="333">
        <f t="shared" si="18"/>
        <v>-0.49717498804680632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>
        <v>8345000</v>
      </c>
      <c r="F178" s="760">
        <v>623408.34</v>
      </c>
      <c r="G178" s="747">
        <f>2379379.82+F178</f>
        <v>3002788.1599999997</v>
      </c>
      <c r="H178" s="756">
        <f t="shared" si="25"/>
        <v>7649583.333333333</v>
      </c>
      <c r="I178" s="45">
        <f t="shared" si="17"/>
        <v>-4646795.1733333338</v>
      </c>
      <c r="J178" s="333">
        <f t="shared" si="18"/>
        <v>-0.60745729157361517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>
        <v>8427635.7300000004</v>
      </c>
      <c r="F179" s="760"/>
      <c r="G179" s="747"/>
      <c r="H179" s="756">
        <f t="shared" si="25"/>
        <v>7725332.7525000004</v>
      </c>
      <c r="I179" s="45">
        <f t="shared" si="17"/>
        <v>-7725332.7525000004</v>
      </c>
      <c r="J179" s="333">
        <f t="shared" si="18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si="25"/>
        <v>0</v>
      </c>
      <c r="I180" s="45">
        <f t="shared" si="17"/>
        <v>0</v>
      </c>
      <c r="J180" s="333" t="str">
        <f t="shared" si="18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5"/>
        <v>0</v>
      </c>
      <c r="I181" s="45">
        <f t="shared" si="17"/>
        <v>0</v>
      </c>
      <c r="J181" s="333" t="str">
        <f t="shared" si="18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5"/>
        <v>0</v>
      </c>
      <c r="I182" s="45">
        <f t="shared" si="17"/>
        <v>0</v>
      </c>
      <c r="J182" s="333" t="str">
        <f t="shared" si="18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5"/>
        <v>0</v>
      </c>
      <c r="I183" s="45">
        <f t="shared" si="17"/>
        <v>0</v>
      </c>
      <c r="J183" s="333" t="str">
        <f t="shared" si="18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5"/>
        <v>0</v>
      </c>
      <c r="I184" s="45">
        <f t="shared" si="17"/>
        <v>0</v>
      </c>
      <c r="J184" s="333" t="str">
        <f t="shared" si="18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6">SUM(E186:E195)</f>
        <v>87872416.560000002</v>
      </c>
      <c r="F185" s="446">
        <f t="shared" si="26"/>
        <v>3601102.61</v>
      </c>
      <c r="G185" s="446">
        <f t="shared" si="26"/>
        <v>42562561.410000004</v>
      </c>
      <c r="H185" s="446">
        <f t="shared" si="26"/>
        <v>80549715.180000007</v>
      </c>
      <c r="I185" s="45">
        <f t="shared" si="17"/>
        <v>-37987153.770000003</v>
      </c>
      <c r="J185" s="333">
        <f t="shared" si="18"/>
        <v>-0.47159885897935461</v>
      </c>
      <c r="K185" s="445">
        <f t="shared" si="26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>
        <v>57394303.739999995</v>
      </c>
      <c r="F186" s="760">
        <v>2122290.71</v>
      </c>
      <c r="G186" s="747">
        <f>23986620.07+F186</f>
        <v>26108910.780000001</v>
      </c>
      <c r="H186" s="756">
        <f t="shared" si="25"/>
        <v>52611445.094999999</v>
      </c>
      <c r="I186" s="45">
        <f t="shared" si="17"/>
        <v>-26502534.314999998</v>
      </c>
      <c r="J186" s="333">
        <f t="shared" si="18"/>
        <v>-0.50374085462097873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>
        <v>5968000</v>
      </c>
      <c r="F187" s="760">
        <v>1478811.9</v>
      </c>
      <c r="G187" s="747">
        <f>14974838.73+F187</f>
        <v>16453650.630000001</v>
      </c>
      <c r="H187" s="756">
        <f t="shared" si="25"/>
        <v>5470666.666666666</v>
      </c>
      <c r="I187" s="45">
        <f t="shared" si="17"/>
        <v>10982983.963333335</v>
      </c>
      <c r="J187" s="333">
        <f t="shared" si="18"/>
        <v>2.0076134468681457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>
        <v>18524069</v>
      </c>
      <c r="F188" s="760"/>
      <c r="G188" s="747"/>
      <c r="H188" s="756">
        <f t="shared" si="25"/>
        <v>16980396.583333336</v>
      </c>
      <c r="I188" s="45">
        <f t="shared" si="17"/>
        <v>-16980396.583333336</v>
      </c>
      <c r="J188" s="333">
        <f t="shared" si="18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>
        <v>5986043.8200000003</v>
      </c>
      <c r="F189" s="760"/>
      <c r="G189" s="747"/>
      <c r="H189" s="756">
        <f t="shared" si="25"/>
        <v>5487206.8350000009</v>
      </c>
      <c r="I189" s="45">
        <f t="shared" si="17"/>
        <v>-5487206.8350000009</v>
      </c>
      <c r="J189" s="333">
        <f t="shared" si="18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>
        <v>0</v>
      </c>
      <c r="F190" s="760"/>
      <c r="G190" s="747"/>
      <c r="H190" s="756">
        <f t="shared" si="25"/>
        <v>0</v>
      </c>
      <c r="I190" s="45">
        <f t="shared" si="17"/>
        <v>0</v>
      </c>
      <c r="J190" s="333" t="str">
        <f t="shared" si="18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>
        <v>0</v>
      </c>
      <c r="F191" s="760"/>
      <c r="G191" s="747"/>
      <c r="H191" s="760">
        <f t="shared" si="25"/>
        <v>0</v>
      </c>
      <c r="I191" s="45">
        <f t="shared" si="17"/>
        <v>0</v>
      </c>
      <c r="J191" s="333" t="str">
        <f t="shared" si="18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5"/>
        <v>0</v>
      </c>
      <c r="I192" s="45">
        <f t="shared" si="17"/>
        <v>0</v>
      </c>
      <c r="J192" s="333" t="str">
        <f t="shared" si="18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5"/>
        <v>0</v>
      </c>
      <c r="I193" s="45">
        <f t="shared" si="17"/>
        <v>0</v>
      </c>
      <c r="J193" s="333" t="str">
        <f t="shared" si="18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5"/>
        <v>0</v>
      </c>
      <c r="I194" s="45">
        <f t="shared" si="17"/>
        <v>0</v>
      </c>
      <c r="J194" s="333" t="str">
        <f t="shared" si="18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5"/>
        <v>0</v>
      </c>
      <c r="I195" s="45">
        <f t="shared" si="17"/>
        <v>0</v>
      </c>
      <c r="J195" s="333" t="str">
        <f t="shared" si="18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27">SUM(C197:C206)</f>
        <v>22716466</v>
      </c>
      <c r="D196" s="447">
        <f t="shared" si="27"/>
        <v>11240580.214849997</v>
      </c>
      <c r="E196" s="444">
        <f t="shared" si="27"/>
        <v>32807833.519999996</v>
      </c>
      <c r="F196" s="446">
        <f t="shared" si="27"/>
        <v>746249.55</v>
      </c>
      <c r="G196" s="446">
        <f t="shared" si="27"/>
        <v>22382095.859999999</v>
      </c>
      <c r="H196" s="446">
        <f t="shared" si="27"/>
        <v>30073847.393333331</v>
      </c>
      <c r="I196" s="45">
        <f t="shared" si="17"/>
        <v>-7691751.5333333313</v>
      </c>
      <c r="J196" s="333">
        <f t="shared" si="18"/>
        <v>-0.25576213886881705</v>
      </c>
      <c r="K196" s="445">
        <f t="shared" si="27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>
        <v>31066371.999999996</v>
      </c>
      <c r="F197" s="760">
        <v>746249.55</v>
      </c>
      <c r="G197" s="747">
        <f>19548863.1+G198</f>
        <v>20965479.48</v>
      </c>
      <c r="H197" s="756">
        <f t="shared" si="25"/>
        <v>28477507.666666664</v>
      </c>
      <c r="I197" s="45">
        <f t="shared" si="17"/>
        <v>-7512028.1866666637</v>
      </c>
      <c r="J197" s="333">
        <f t="shared" si="18"/>
        <v>-0.26378811919203177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/>
      <c r="G198" s="747">
        <v>1416616.3800000001</v>
      </c>
      <c r="H198" s="760">
        <f t="shared" si="25"/>
        <v>0</v>
      </c>
      <c r="I198" s="45">
        <f t="shared" ref="I198:I261" si="28">G198-H198</f>
        <v>1416616.3800000001</v>
      </c>
      <c r="J198" s="333" t="e">
        <f t="shared" ref="J198:J261" si="29">IF(I198=0,"",I198/H198)</f>
        <v>#DIV/0!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>
        <f t="shared" si="25"/>
        <v>0</v>
      </c>
      <c r="I199" s="45">
        <f t="shared" si="28"/>
        <v>0</v>
      </c>
      <c r="J199" s="333" t="str">
        <f t="shared" si="29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>
        <f t="shared" si="25"/>
        <v>0</v>
      </c>
      <c r="I200" s="45">
        <f t="shared" si="28"/>
        <v>0</v>
      </c>
      <c r="J200" s="333" t="str">
        <f t="shared" si="29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>
        <v>1741461.52</v>
      </c>
      <c r="F201" s="475"/>
      <c r="G201" s="387">
        <v>0</v>
      </c>
      <c r="H201" s="475">
        <f t="shared" si="25"/>
        <v>1596339.7266666666</v>
      </c>
      <c r="I201" s="45">
        <f t="shared" si="28"/>
        <v>-1596339.7266666666</v>
      </c>
      <c r="J201" s="333">
        <f t="shared" si="29"/>
        <v>-1</v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>
        <f t="shared" si="25"/>
        <v>0</v>
      </c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>
        <f t="shared" si="25"/>
        <v>0</v>
      </c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>
        <f t="shared" si="25"/>
        <v>0</v>
      </c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>
        <f t="shared" si="25"/>
        <v>0</v>
      </c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>
        <f t="shared" si="25"/>
        <v>0</v>
      </c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0">SUM(C208:C217)</f>
        <v>41578873</v>
      </c>
      <c r="D207" s="447">
        <f t="shared" si="30"/>
        <v>98692761.061682031</v>
      </c>
      <c r="E207" s="444">
        <f t="shared" si="30"/>
        <v>80014530</v>
      </c>
      <c r="F207" s="446">
        <f t="shared" si="30"/>
        <v>6192708.2300000004</v>
      </c>
      <c r="G207" s="446">
        <f>SUM(G208:G217)</f>
        <v>72389453.772391558</v>
      </c>
      <c r="H207" s="446">
        <f>SUM(H208:H217)</f>
        <v>73346652.5</v>
      </c>
      <c r="I207" s="45">
        <f t="shared" si="28"/>
        <v>-957198.72760844231</v>
      </c>
      <c r="J207" s="333">
        <f t="shared" si="29"/>
        <v>-1.3050339653993647E-2</v>
      </c>
      <c r="K207" s="445">
        <f t="shared" si="30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>
        <v>51580241</v>
      </c>
      <c r="F208" s="475">
        <v>3057783.16</v>
      </c>
      <c r="G208" s="387">
        <v>43681650.490000002</v>
      </c>
      <c r="H208" s="756">
        <f t="shared" si="25"/>
        <v>47281887.583333336</v>
      </c>
      <c r="I208" s="45">
        <f t="shared" si="28"/>
        <v>-3600237.0933333337</v>
      </c>
      <c r="J208" s="333">
        <f t="shared" si="29"/>
        <v>-7.6144106704454026E-2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>
        <v>12271999</v>
      </c>
      <c r="F209" s="475">
        <v>941062.67000000016</v>
      </c>
      <c r="G209" s="387">
        <v>8396699.3399999999</v>
      </c>
      <c r="H209" s="756">
        <f t="shared" si="25"/>
        <v>11249332.416666668</v>
      </c>
      <c r="I209" s="45">
        <f t="shared" si="28"/>
        <v>-2852633.0766666681</v>
      </c>
      <c r="J209" s="333">
        <f t="shared" si="29"/>
        <v>-0.25358243236196787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>
        <v>0</v>
      </c>
      <c r="F210" s="475">
        <v>209692.11</v>
      </c>
      <c r="G210" s="387">
        <v>209692.11</v>
      </c>
      <c r="H210" s="756">
        <f t="shared" si="25"/>
        <v>0</v>
      </c>
      <c r="I210" s="45">
        <f t="shared" si="28"/>
        <v>209692.11</v>
      </c>
      <c r="J210" s="333" t="e">
        <f t="shared" si="29"/>
        <v>#DIV/0!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>
        <v>1706034.5180500001</v>
      </c>
      <c r="F211" s="475"/>
      <c r="G211" s="387">
        <v>294927.76</v>
      </c>
      <c r="H211" s="756">
        <f t="shared" si="25"/>
        <v>1563864.9748791668</v>
      </c>
      <c r="I211" s="45">
        <f t="shared" si="28"/>
        <v>-1268937.2148791668</v>
      </c>
      <c r="J211" s="333">
        <f t="shared" si="29"/>
        <v>-0.81141098193417383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>
        <v>3214890.2070000004</v>
      </c>
      <c r="F212" s="475">
        <v>1456576.3900000001</v>
      </c>
      <c r="G212" s="387">
        <v>2756000</v>
      </c>
      <c r="H212" s="756">
        <f t="shared" si="25"/>
        <v>2946982.6897500004</v>
      </c>
      <c r="I212" s="45">
        <f t="shared" si="28"/>
        <v>-190982.68975000037</v>
      </c>
      <c r="J212" s="333">
        <f t="shared" si="29"/>
        <v>-6.4806179695002519E-2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>
        <v>2376283.2749499991</v>
      </c>
      <c r="F213" s="475"/>
      <c r="G213" s="387">
        <v>11174591.272391569</v>
      </c>
      <c r="H213" s="756">
        <f t="shared" si="25"/>
        <v>2178259.6687041656</v>
      </c>
      <c r="I213" s="45">
        <f t="shared" si="28"/>
        <v>8996331.6036874037</v>
      </c>
      <c r="J213" s="333">
        <f t="shared" si="29"/>
        <v>4.1300547097028479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>
        <v>8865082</v>
      </c>
      <c r="F214" s="475">
        <v>527593.89999999991</v>
      </c>
      <c r="G214" s="387">
        <v>5875892.8000000007</v>
      </c>
      <c r="H214" s="756">
        <f t="shared" si="25"/>
        <v>8126325.166666667</v>
      </c>
      <c r="I214" s="45">
        <f t="shared" si="28"/>
        <v>-2250432.3666666662</v>
      </c>
      <c r="J214" s="333">
        <f t="shared" si="29"/>
        <v>-0.27693112452572088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si="25"/>
        <v>0</v>
      </c>
      <c r="I215" s="45">
        <f t="shared" si="28"/>
        <v>0</v>
      </c>
      <c r="J215" s="333" t="str">
        <f t="shared" si="29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>
        <f t="shared" si="25"/>
        <v>0</v>
      </c>
      <c r="I216" s="45">
        <f t="shared" si="28"/>
        <v>0</v>
      </c>
      <c r="J216" s="333" t="str">
        <f t="shared" si="29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25"/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1">SUM(C219:C228)</f>
        <v>3970204</v>
      </c>
      <c r="D218" s="447">
        <f t="shared" si="31"/>
        <v>28736239.861502983</v>
      </c>
      <c r="E218" s="444">
        <f t="shared" si="31"/>
        <v>41131190.256549999</v>
      </c>
      <c r="F218" s="446">
        <f t="shared" si="31"/>
        <v>2943024.98</v>
      </c>
      <c r="G218" s="446">
        <f t="shared" si="31"/>
        <v>22359935.209999997</v>
      </c>
      <c r="H218" s="446">
        <f t="shared" si="31"/>
        <v>37703591.06850417</v>
      </c>
      <c r="I218" s="45">
        <f t="shared" si="28"/>
        <v>-15343655.858504172</v>
      </c>
      <c r="J218" s="333">
        <f t="shared" si="29"/>
        <v>-0.40695476010828979</v>
      </c>
      <c r="K218" s="445">
        <f t="shared" si="31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>
        <v>6830831</v>
      </c>
      <c r="F219" s="475">
        <v>377280.51</v>
      </c>
      <c r="G219" s="387">
        <v>3153655.0199999996</v>
      </c>
      <c r="H219" s="756">
        <f t="shared" ref="H219:H228" si="32">E219/12*11</f>
        <v>6261595.083333333</v>
      </c>
      <c r="I219" s="45">
        <f t="shared" si="28"/>
        <v>-3107940.0633333335</v>
      </c>
      <c r="J219" s="333">
        <f t="shared" si="29"/>
        <v>-0.49634957578234762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>
        <v>3388187</v>
      </c>
      <c r="F220" s="475">
        <v>373194.42</v>
      </c>
      <c r="G220" s="387">
        <v>2961168.6999999997</v>
      </c>
      <c r="H220" s="756">
        <f t="shared" si="32"/>
        <v>3105838.0833333335</v>
      </c>
      <c r="I220" s="45">
        <f t="shared" si="28"/>
        <v>-144669.38333333377</v>
      </c>
      <c r="J220" s="333">
        <f t="shared" si="29"/>
        <v>-4.6579821436817367E-2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>
        <v>1247050.45655</v>
      </c>
      <c r="F221" s="475">
        <v>820228.28</v>
      </c>
      <c r="G221" s="387">
        <v>3249808.0200000005</v>
      </c>
      <c r="H221" s="756">
        <f t="shared" si="32"/>
        <v>1143129.5851708334</v>
      </c>
      <c r="I221" s="45">
        <f t="shared" si="28"/>
        <v>2106678.4348291671</v>
      </c>
      <c r="J221" s="333">
        <f t="shared" si="29"/>
        <v>1.8429043060016135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>
        <v>7860000</v>
      </c>
      <c r="F222" s="475">
        <v>770654.38</v>
      </c>
      <c r="G222" s="387">
        <v>4206773.41</v>
      </c>
      <c r="H222" s="949">
        <f t="shared" si="32"/>
        <v>7205000</v>
      </c>
      <c r="I222" s="45">
        <f t="shared" si="28"/>
        <v>-2998226.59</v>
      </c>
      <c r="J222" s="333">
        <f t="shared" si="29"/>
        <v>-0.41613137959750174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>
        <v>19868587.800000001</v>
      </c>
      <c r="F223" s="475">
        <v>22164.789999999997</v>
      </c>
      <c r="G223" s="387">
        <v>7841752.5800000001</v>
      </c>
      <c r="H223" s="756">
        <f t="shared" si="32"/>
        <v>18212872.150000002</v>
      </c>
      <c r="I223" s="45">
        <f t="shared" si="28"/>
        <v>-10371119.570000002</v>
      </c>
      <c r="J223" s="333">
        <f t="shared" si="29"/>
        <v>-0.56943899263027553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>
        <v>697472</v>
      </c>
      <c r="F224" s="475">
        <v>61287.6</v>
      </c>
      <c r="G224" s="387">
        <v>186260.2</v>
      </c>
      <c r="H224" s="756">
        <f t="shared" si="32"/>
        <v>639349.33333333326</v>
      </c>
      <c r="I224" s="45">
        <f t="shared" si="28"/>
        <v>-453089.13333333324</v>
      </c>
      <c r="J224" s="333">
        <f t="shared" si="29"/>
        <v>-0.70867225429186331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>
        <v>1239062</v>
      </c>
      <c r="F225" s="475">
        <v>518215</v>
      </c>
      <c r="G225" s="387">
        <v>760517.28</v>
      </c>
      <c r="H225" s="949">
        <f t="shared" si="32"/>
        <v>1135806.8333333335</v>
      </c>
      <c r="I225" s="45">
        <f t="shared" si="28"/>
        <v>-375289.55333333346</v>
      </c>
      <c r="J225" s="333">
        <f t="shared" si="29"/>
        <v>-0.3304167067140672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2"/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2"/>
        <v>0</v>
      </c>
      <c r="I227" s="45">
        <f t="shared" si="28"/>
        <v>0</v>
      </c>
      <c r="J227" s="333" t="str">
        <f t="shared" si="29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2"/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3">SUM(C230:C239)</f>
        <v>0</v>
      </c>
      <c r="D229" s="447">
        <f t="shared" si="33"/>
        <v>0</v>
      </c>
      <c r="E229" s="444">
        <f t="shared" si="33"/>
        <v>0</v>
      </c>
      <c r="F229" s="446">
        <f t="shared" si="33"/>
        <v>0</v>
      </c>
      <c r="G229" s="444">
        <f t="shared" si="33"/>
        <v>0</v>
      </c>
      <c r="H229" s="446">
        <f t="shared" si="33"/>
        <v>0</v>
      </c>
      <c r="I229" s="45">
        <f t="shared" si="28"/>
        <v>0</v>
      </c>
      <c r="J229" s="333" t="str">
        <f t="shared" si="29"/>
        <v/>
      </c>
      <c r="K229" s="445">
        <f t="shared" si="33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8"/>
        <v>0</v>
      </c>
      <c r="J231" s="333" t="str">
        <f t="shared" si="29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4">SUM(C241:C250)</f>
        <v>0</v>
      </c>
      <c r="D240" s="447">
        <f t="shared" si="34"/>
        <v>0</v>
      </c>
      <c r="E240" s="444">
        <f t="shared" si="34"/>
        <v>0</v>
      </c>
      <c r="F240" s="446">
        <f t="shared" si="34"/>
        <v>0</v>
      </c>
      <c r="G240" s="444">
        <f t="shared" si="34"/>
        <v>0</v>
      </c>
      <c r="H240" s="446">
        <f t="shared" si="34"/>
        <v>0</v>
      </c>
      <c r="I240" s="45">
        <f t="shared" si="28"/>
        <v>0</v>
      </c>
      <c r="J240" s="333" t="str">
        <f t="shared" si="29"/>
        <v/>
      </c>
      <c r="K240" s="445">
        <f t="shared" si="34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28"/>
        <v>0</v>
      </c>
      <c r="J242" s="333" t="str">
        <f t="shared" si="29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35">SUM(C252:C261)</f>
        <v>0</v>
      </c>
      <c r="D251" s="447">
        <f t="shared" si="35"/>
        <v>0</v>
      </c>
      <c r="E251" s="444">
        <f t="shared" si="35"/>
        <v>0</v>
      </c>
      <c r="F251" s="446">
        <f t="shared" si="35"/>
        <v>0</v>
      </c>
      <c r="G251" s="444">
        <f t="shared" si="35"/>
        <v>0</v>
      </c>
      <c r="H251" s="446">
        <f t="shared" si="35"/>
        <v>0</v>
      </c>
      <c r="I251" s="45">
        <f t="shared" si="28"/>
        <v>0</v>
      </c>
      <c r="J251" s="333" t="str">
        <f t="shared" si="29"/>
        <v/>
      </c>
      <c r="K251" s="445">
        <f t="shared" si="35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28"/>
        <v>0</v>
      </c>
      <c r="J253" s="333" t="str">
        <f t="shared" si="29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36">SUM(C263:C272)</f>
        <v>0</v>
      </c>
      <c r="D262" s="447">
        <f t="shared" si="36"/>
        <v>0</v>
      </c>
      <c r="E262" s="444">
        <f t="shared" si="36"/>
        <v>0</v>
      </c>
      <c r="F262" s="446">
        <f t="shared" si="36"/>
        <v>0</v>
      </c>
      <c r="G262" s="444">
        <f t="shared" si="36"/>
        <v>0</v>
      </c>
      <c r="H262" s="446">
        <f t="shared" si="36"/>
        <v>0</v>
      </c>
      <c r="I262" s="45">
        <f t="shared" ref="I262:I325" si="37">G262-H262</f>
        <v>0</v>
      </c>
      <c r="J262" s="333" t="str">
        <f t="shared" ref="J262:J325" si="38">IF(I262=0,"",I262/H262)</f>
        <v/>
      </c>
      <c r="K262" s="445">
        <f t="shared" si="36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37"/>
        <v>0</v>
      </c>
      <c r="J263" s="333" t="str">
        <f t="shared" si="38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7"/>
        <v>0</v>
      </c>
      <c r="J264" s="333" t="str">
        <f t="shared" si="38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7"/>
        <v>0</v>
      </c>
      <c r="J265" s="333" t="str">
        <f t="shared" si="38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39">SUM(C274:C283)</f>
        <v>0</v>
      </c>
      <c r="D273" s="447">
        <f t="shared" si="39"/>
        <v>0</v>
      </c>
      <c r="E273" s="444">
        <f t="shared" si="39"/>
        <v>0</v>
      </c>
      <c r="F273" s="446">
        <f t="shared" si="39"/>
        <v>0</v>
      </c>
      <c r="G273" s="444">
        <f t="shared" si="39"/>
        <v>0</v>
      </c>
      <c r="H273" s="446">
        <f t="shared" si="39"/>
        <v>0</v>
      </c>
      <c r="I273" s="45">
        <f t="shared" si="37"/>
        <v>0</v>
      </c>
      <c r="J273" s="333" t="str">
        <f t="shared" si="38"/>
        <v/>
      </c>
      <c r="K273" s="445">
        <f t="shared" si="39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37"/>
        <v>0</v>
      </c>
      <c r="J275" s="333" t="str">
        <f t="shared" si="38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7"/>
        <v>0</v>
      </c>
      <c r="J276" s="333" t="str">
        <f t="shared" si="38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0">SUM(C285:C294)</f>
        <v>0</v>
      </c>
      <c r="D284" s="447">
        <f t="shared" si="40"/>
        <v>0</v>
      </c>
      <c r="E284" s="444">
        <f t="shared" si="40"/>
        <v>0</v>
      </c>
      <c r="F284" s="446">
        <f t="shared" si="40"/>
        <v>0</v>
      </c>
      <c r="G284" s="444">
        <f t="shared" si="40"/>
        <v>0</v>
      </c>
      <c r="H284" s="446">
        <f t="shared" si="40"/>
        <v>0</v>
      </c>
      <c r="I284" s="45">
        <f t="shared" si="37"/>
        <v>0</v>
      </c>
      <c r="J284" s="333" t="str">
        <f t="shared" si="38"/>
        <v/>
      </c>
      <c r="K284" s="445">
        <f t="shared" si="40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7"/>
        <v>0</v>
      </c>
      <c r="J286" s="333" t="str">
        <f t="shared" si="38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7"/>
        <v>0</v>
      </c>
      <c r="J287" s="333" t="str">
        <f t="shared" si="38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1">SUM(C296:C305)</f>
        <v>0</v>
      </c>
      <c r="D295" s="447">
        <f t="shared" si="41"/>
        <v>0</v>
      </c>
      <c r="E295" s="444">
        <f t="shared" si="41"/>
        <v>0</v>
      </c>
      <c r="F295" s="446">
        <f t="shared" si="41"/>
        <v>0</v>
      </c>
      <c r="G295" s="444">
        <f t="shared" si="41"/>
        <v>0</v>
      </c>
      <c r="H295" s="446">
        <f t="shared" si="41"/>
        <v>0</v>
      </c>
      <c r="I295" s="45">
        <f t="shared" si="37"/>
        <v>0</v>
      </c>
      <c r="J295" s="333" t="str">
        <f t="shared" si="38"/>
        <v/>
      </c>
      <c r="K295" s="445">
        <f t="shared" si="41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7"/>
        <v>0</v>
      </c>
      <c r="J297" s="333" t="str">
        <f t="shared" si="38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2">SUM(C307:C316)</f>
        <v>0</v>
      </c>
      <c r="D306" s="447">
        <f t="shared" si="42"/>
        <v>0</v>
      </c>
      <c r="E306" s="444">
        <f t="shared" si="42"/>
        <v>0</v>
      </c>
      <c r="F306" s="446">
        <f t="shared" si="42"/>
        <v>0</v>
      </c>
      <c r="G306" s="444">
        <f t="shared" si="42"/>
        <v>0</v>
      </c>
      <c r="H306" s="446">
        <f t="shared" si="42"/>
        <v>0</v>
      </c>
      <c r="I306" s="45">
        <f t="shared" si="37"/>
        <v>0</v>
      </c>
      <c r="J306" s="333" t="str">
        <f t="shared" si="38"/>
        <v/>
      </c>
      <c r="K306" s="445">
        <f t="shared" si="42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7"/>
        <v>0</v>
      </c>
      <c r="J308" s="333" t="str">
        <f t="shared" si="38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3">SUM(C318:C327)</f>
        <v>0</v>
      </c>
      <c r="D317" s="447">
        <f t="shared" si="43"/>
        <v>0</v>
      </c>
      <c r="E317" s="444">
        <f t="shared" si="43"/>
        <v>0</v>
      </c>
      <c r="F317" s="446">
        <f t="shared" si="43"/>
        <v>0</v>
      </c>
      <c r="G317" s="444">
        <f t="shared" si="43"/>
        <v>0</v>
      </c>
      <c r="H317" s="446">
        <f t="shared" si="43"/>
        <v>0</v>
      </c>
      <c r="I317" s="45">
        <f t="shared" si="37"/>
        <v>0</v>
      </c>
      <c r="J317" s="333" t="str">
        <f t="shared" si="38"/>
        <v/>
      </c>
      <c r="K317" s="445">
        <f t="shared" si="43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7"/>
        <v>0</v>
      </c>
      <c r="J319" s="333" t="str">
        <f t="shared" si="38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4">G326-H326</f>
        <v>0</v>
      </c>
      <c r="J326" s="333" t="str">
        <f t="shared" ref="J326:J341" si="45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4"/>
        <v>0</v>
      </c>
      <c r="J327" s="333" t="str">
        <f t="shared" si="45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46">SUM(C329:C338)</f>
        <v>0</v>
      </c>
      <c r="D328" s="447">
        <f t="shared" si="46"/>
        <v>0</v>
      </c>
      <c r="E328" s="444">
        <f t="shared" si="46"/>
        <v>0</v>
      </c>
      <c r="F328" s="446">
        <f t="shared" si="46"/>
        <v>0</v>
      </c>
      <c r="G328" s="444">
        <f t="shared" si="46"/>
        <v>0</v>
      </c>
      <c r="H328" s="446">
        <f t="shared" si="46"/>
        <v>0</v>
      </c>
      <c r="I328" s="45">
        <f t="shared" si="44"/>
        <v>0</v>
      </c>
      <c r="J328" s="333" t="str">
        <f t="shared" si="45"/>
        <v/>
      </c>
      <c r="K328" s="445">
        <f t="shared" si="46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4"/>
        <v>0</v>
      </c>
      <c r="J330" s="333" t="str">
        <f t="shared" si="45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55">
        <f t="shared" ref="L338:W338" si="47">SUM(L173:L249)</f>
        <v>0</v>
      </c>
      <c r="M338" s="456">
        <f t="shared" si="47"/>
        <v>0</v>
      </c>
      <c r="N338" s="456">
        <f t="shared" si="47"/>
        <v>0</v>
      </c>
      <c r="O338" s="456">
        <f t="shared" si="47"/>
        <v>0</v>
      </c>
      <c r="P338" s="456">
        <f t="shared" si="47"/>
        <v>0</v>
      </c>
      <c r="Q338" s="456">
        <f t="shared" si="47"/>
        <v>0</v>
      </c>
      <c r="R338" s="456">
        <f t="shared" si="47"/>
        <v>0</v>
      </c>
      <c r="S338" s="456">
        <f t="shared" si="47"/>
        <v>0</v>
      </c>
      <c r="T338" s="456">
        <f t="shared" si="47"/>
        <v>0</v>
      </c>
      <c r="U338" s="456">
        <f t="shared" si="47"/>
        <v>0</v>
      </c>
      <c r="V338" s="456">
        <f t="shared" si="47"/>
        <v>0</v>
      </c>
      <c r="W338" s="456">
        <f t="shared" si="47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48">C174+C185+C196+C207+C218+C229+C240+C251+C262++C273+C284+C295+C306+C317+C328</f>
        <v>284874946</v>
      </c>
      <c r="D339" s="478">
        <f t="shared" si="48"/>
        <v>256505812.39484403</v>
      </c>
      <c r="E339" s="433">
        <f t="shared" si="48"/>
        <v>283289747.63655001</v>
      </c>
      <c r="F339" s="477">
        <f t="shared" si="48"/>
        <v>15527438.699999999</v>
      </c>
      <c r="G339" s="477">
        <f t="shared" si="48"/>
        <v>184335577.40239158</v>
      </c>
      <c r="H339" s="477">
        <f t="shared" si="48"/>
        <v>259682268.66683751</v>
      </c>
      <c r="I339" s="433">
        <f t="shared" si="44"/>
        <v>-75346691.264445931</v>
      </c>
      <c r="J339" s="433">
        <f t="shared" si="45"/>
        <v>-0.29014954178913493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48"/>
        <v>7724548.9199999999</v>
      </c>
      <c r="G340" s="51"/>
      <c r="H340" s="50"/>
      <c r="I340" s="51">
        <f t="shared" si="44"/>
        <v>0</v>
      </c>
      <c r="J340" s="51" t="str">
        <f t="shared" si="45"/>
        <v/>
      </c>
      <c r="K340" s="195"/>
      <c r="L340" s="483">
        <f t="shared" ref="L340:W340" si="49">L170-L338</f>
        <v>0</v>
      </c>
      <c r="M340" s="484">
        <f t="shared" si="49"/>
        <v>0</v>
      </c>
      <c r="N340" s="484">
        <f t="shared" si="49"/>
        <v>0</v>
      </c>
      <c r="O340" s="484">
        <f t="shared" si="49"/>
        <v>0</v>
      </c>
      <c r="P340" s="484">
        <f t="shared" si="49"/>
        <v>0</v>
      </c>
      <c r="Q340" s="484">
        <f t="shared" si="49"/>
        <v>0</v>
      </c>
      <c r="R340" s="484">
        <f t="shared" si="49"/>
        <v>0</v>
      </c>
      <c r="S340" s="484">
        <f t="shared" si="49"/>
        <v>0</v>
      </c>
      <c r="T340" s="484">
        <f t="shared" si="49"/>
        <v>0</v>
      </c>
      <c r="U340" s="484">
        <f t="shared" si="49"/>
        <v>0</v>
      </c>
      <c r="V340" s="484">
        <f t="shared" si="49"/>
        <v>0</v>
      </c>
      <c r="W340" s="484">
        <f t="shared" si="49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0">C171-C339</f>
        <v>-25284423</v>
      </c>
      <c r="D341" s="515">
        <f t="shared" si="50"/>
        <v>105703023.11796007</v>
      </c>
      <c r="E341" s="56">
        <f t="shared" si="50"/>
        <v>67694002.724909961</v>
      </c>
      <c r="F341" s="482">
        <f t="shared" si="50"/>
        <v>-6976044.6999999993</v>
      </c>
      <c r="G341" s="482">
        <f t="shared" si="50"/>
        <v>44272920.15760842</v>
      </c>
      <c r="H341" s="482">
        <f t="shared" si="50"/>
        <v>66481835.831167459</v>
      </c>
      <c r="I341" s="56">
        <f t="shared" si="44"/>
        <v>-22208915.67355904</v>
      </c>
      <c r="J341" s="56">
        <f t="shared" si="45"/>
        <v>-0.334059903669917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2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"&amp;S71B&amp; " - "&amp;date</f>
        <v>NW385 Ramotshere Moiloa - Table C4 Monthly Budget Statement - Financial Performance (revenue and expenditure)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97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8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>
        <v>22296631</v>
      </c>
      <c r="F6" s="747">
        <v>1315468</v>
      </c>
      <c r="G6" s="747">
        <v>20358885</v>
      </c>
      <c r="H6" s="747">
        <v>24185390.016666599</v>
      </c>
      <c r="I6" s="45">
        <f t="shared" ref="I6:I23" si="0">G6-H6</f>
        <v>-3826505.0166665986</v>
      </c>
      <c r="J6" s="333">
        <f t="shared" ref="J6:J23" si="1">IF(I6=0,"",I6/H6)</f>
        <v>-0.15821555964281259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>
        <v>0</v>
      </c>
      <c r="F7" s="747">
        <v>0</v>
      </c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>
        <v>58449863</v>
      </c>
      <c r="F8" s="747">
        <v>5786724</v>
      </c>
      <c r="G8" s="747">
        <v>42707710</v>
      </c>
      <c r="H8" s="747">
        <v>32269888.666666668</v>
      </c>
      <c r="I8" s="45">
        <f t="shared" si="0"/>
        <v>10437821.333333332</v>
      </c>
      <c r="J8" s="333">
        <f t="shared" si="1"/>
        <v>0.32345389973765631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>
        <v>12479455</v>
      </c>
      <c r="F9" s="747">
        <v>1095904</v>
      </c>
      <c r="G9" s="747">
        <v>7323458.8600000096</v>
      </c>
      <c r="H9" s="747">
        <v>7551241.333333333</v>
      </c>
      <c r="I9" s="45">
        <f t="shared" si="0"/>
        <v>-227782.47333332337</v>
      </c>
      <c r="J9" s="333">
        <f t="shared" si="1"/>
        <v>-3.0164904454559886E-2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>
        <v>5040214</v>
      </c>
      <c r="F10" s="747">
        <v>211177</v>
      </c>
      <c r="G10" s="747">
        <v>2058929.14</v>
      </c>
      <c r="H10" s="747">
        <v>2979821.25</v>
      </c>
      <c r="I10" s="45">
        <f t="shared" si="0"/>
        <v>-920892.1100000001</v>
      </c>
      <c r="J10" s="333">
        <f t="shared" si="1"/>
        <v>-0.30904273536541832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>
        <v>8821354</v>
      </c>
      <c r="F11" s="747">
        <v>602917</v>
      </c>
      <c r="G11" s="747">
        <v>6380459.2999999998</v>
      </c>
      <c r="H11" s="747">
        <v>5751743.333333333</v>
      </c>
      <c r="I11" s="45">
        <f t="shared" si="0"/>
        <v>628715.96666666679</v>
      </c>
      <c r="J11" s="333">
        <f t="shared" si="1"/>
        <v>0.1093087660958446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>
        <v>0</v>
      </c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>
        <v>177304.44332000005</v>
      </c>
      <c r="F13" s="747">
        <v>5549</v>
      </c>
      <c r="G13" s="747">
        <v>88920.09</v>
      </c>
      <c r="H13" s="747">
        <v>118202.96221333336</v>
      </c>
      <c r="I13" s="45">
        <f t="shared" si="0"/>
        <v>-29282.872213333365</v>
      </c>
      <c r="J13" s="333">
        <f t="shared" si="1"/>
        <v>-0.24773382718178819</v>
      </c>
      <c r="K13" s="749"/>
    </row>
    <row r="14" spans="1:11" ht="11.25" customHeight="1" x14ac:dyDescent="0.25">
      <c r="A14" s="87" t="s">
        <v>995</v>
      </c>
      <c r="B14" s="424"/>
      <c r="C14" s="762">
        <v>1432729</v>
      </c>
      <c r="D14" s="759">
        <v>131771</v>
      </c>
      <c r="E14" s="747">
        <v>131771</v>
      </c>
      <c r="F14" s="747">
        <v>4309</v>
      </c>
      <c r="G14" s="747">
        <v>100007.32</v>
      </c>
      <c r="H14" s="747">
        <v>87847.333333333328</v>
      </c>
      <c r="I14" s="45">
        <f t="shared" si="0"/>
        <v>12159.986666666679</v>
      </c>
      <c r="J14" s="333">
        <f t="shared" si="1"/>
        <v>0.13842180752972974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>
        <v>4250000</v>
      </c>
      <c r="F15" s="747">
        <v>6800</v>
      </c>
      <c r="G15" s="747">
        <v>74424.320000000007</v>
      </c>
      <c r="H15" s="747">
        <v>2833333.3333333335</v>
      </c>
      <c r="I15" s="45">
        <f t="shared" si="0"/>
        <v>-2758909.0133333337</v>
      </c>
      <c r="J15" s="333">
        <f t="shared" si="1"/>
        <v>-0.97373259294117653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>
        <v>0</v>
      </c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>
        <v>8546422</v>
      </c>
      <c r="F17" s="747">
        <v>30595</v>
      </c>
      <c r="G17" s="747">
        <v>1750263.48</v>
      </c>
      <c r="H17" s="747">
        <v>5697614.666666667</v>
      </c>
      <c r="I17" s="45">
        <f t="shared" si="0"/>
        <v>-3947351.186666667</v>
      </c>
      <c r="J17" s="333">
        <f t="shared" si="1"/>
        <v>-0.69280767787970221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>
        <v>2523661.0270400001</v>
      </c>
      <c r="F18" s="747">
        <v>333673</v>
      </c>
      <c r="G18" s="747">
        <v>2924512.71</v>
      </c>
      <c r="H18" s="747">
        <v>1682440.6846933335</v>
      </c>
      <c r="I18" s="45">
        <f t="shared" si="0"/>
        <v>1242072.0253066665</v>
      </c>
      <c r="J18" s="333">
        <f t="shared" si="1"/>
        <v>0.73825605657715354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>
        <v>0</v>
      </c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>
        <v>142831000</v>
      </c>
      <c r="F20" s="747">
        <v>82670</v>
      </c>
      <c r="G20" s="747">
        <v>106853760</v>
      </c>
      <c r="H20" s="747">
        <v>96687333.333333328</v>
      </c>
      <c r="I20" s="45">
        <f t="shared" si="0"/>
        <v>10166426.666666672</v>
      </c>
      <c r="J20" s="333">
        <f t="shared" si="1"/>
        <v>0.1051474512345637</v>
      </c>
      <c r="K20" s="749"/>
    </row>
    <row r="21" spans="1:11" ht="11.25" customHeight="1" x14ac:dyDescent="0.25">
      <c r="A21" s="87" t="s">
        <v>561</v>
      </c>
      <c r="B21" s="424"/>
      <c r="C21" s="762">
        <v>3616241</v>
      </c>
      <c r="D21" s="759">
        <v>11716017.018604141</v>
      </c>
      <c r="E21" s="747">
        <v>24714763.018604141</v>
      </c>
      <c r="F21" s="747">
        <v>-924392</v>
      </c>
      <c r="G21" s="747">
        <v>36569794.469999999</v>
      </c>
      <c r="H21" s="747">
        <v>7810678.0124027608</v>
      </c>
      <c r="I21" s="45">
        <f t="shared" si="0"/>
        <v>28759116.457597237</v>
      </c>
      <c r="J21" s="333">
        <f t="shared" si="1"/>
        <v>3.6820256080112319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>
        <f>D22/2</f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2">SUM(C6:C22)</f>
        <v>259573524</v>
      </c>
      <c r="D23" s="526">
        <f t="shared" si="2"/>
        <v>282121835.51396412</v>
      </c>
      <c r="E23" s="527">
        <f t="shared" si="2"/>
        <v>290262438.48896414</v>
      </c>
      <c r="F23" s="527">
        <f t="shared" si="2"/>
        <v>8551394</v>
      </c>
      <c r="G23" s="527">
        <f t="shared" si="2"/>
        <v>227191124.69</v>
      </c>
      <c r="H23" s="527">
        <f t="shared" si="2"/>
        <v>187655534.92597604</v>
      </c>
      <c r="I23" s="527">
        <f t="shared" si="0"/>
        <v>39535589.76402396</v>
      </c>
      <c r="J23" s="528">
        <f t="shared" si="1"/>
        <v>0.2106817141291327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>
        <v>98964379.472879097</v>
      </c>
      <c r="F26" s="747">
        <v>8817369</v>
      </c>
      <c r="G26" s="747">
        <v>91847830.230000004</v>
      </c>
      <c r="H26" s="747">
        <v>65976252.9819194</v>
      </c>
      <c r="I26" s="45">
        <f t="shared" ref="I26:I37" si="3">G26-H26</f>
        <v>25871577.248080604</v>
      </c>
      <c r="J26" s="333">
        <f t="shared" ref="J26:J42" si="4">IF(I26=0,"",I26/H26)</f>
        <v>0.39213468602363089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>
        <v>11807209.180665646</v>
      </c>
      <c r="F27" s="747">
        <v>593784</v>
      </c>
      <c r="G27" s="747">
        <v>6059849.0300000003</v>
      </c>
      <c r="H27" s="747">
        <v>7871472.7871104302</v>
      </c>
      <c r="I27" s="45">
        <f t="shared" si="3"/>
        <v>-1811623.7571104299</v>
      </c>
      <c r="J27" s="333">
        <f t="shared" si="4"/>
        <v>-0.23015054566115906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>
        <v>0</v>
      </c>
      <c r="F28" s="747"/>
      <c r="G28" s="747"/>
      <c r="H28" s="747">
        <f>(D28/12)*8</f>
        <v>0</v>
      </c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>
        <v>15736812</v>
      </c>
      <c r="F29" s="747"/>
      <c r="G29" s="747"/>
      <c r="H29" s="747">
        <v>4000000</v>
      </c>
      <c r="I29" s="45">
        <f t="shared" si="3"/>
        <v>-4000000</v>
      </c>
      <c r="J29" s="333">
        <f t="shared" si="4"/>
        <v>-1</v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>
        <v>10284984.6954</v>
      </c>
      <c r="F30" s="747">
        <v>49329</v>
      </c>
      <c r="G30" s="747">
        <v>1017817.2</v>
      </c>
      <c r="H30" s="747">
        <v>856656.46360000025</v>
      </c>
      <c r="I30" s="45">
        <f t="shared" si="3"/>
        <v>161160.7363999997</v>
      </c>
      <c r="J30" s="333">
        <f t="shared" si="4"/>
        <v>0.18812761386605342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>
        <v>40000000</v>
      </c>
      <c r="F31" s="747">
        <v>2561865</v>
      </c>
      <c r="G31" s="747">
        <v>33130844.170000002</v>
      </c>
      <c r="H31" s="747">
        <v>22938334.170828864</v>
      </c>
      <c r="I31" s="45">
        <f t="shared" si="3"/>
        <v>10192509.999171138</v>
      </c>
      <c r="J31" s="333">
        <f t="shared" si="4"/>
        <v>0.44434394944569061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>
        <v>10677462.332126001</v>
      </c>
      <c r="F32" s="747">
        <v>291174</v>
      </c>
      <c r="G32" s="747">
        <v>4973842.4000000004</v>
      </c>
      <c r="H32" s="747">
        <v>8304470.3539258102</v>
      </c>
      <c r="I32" s="45">
        <f t="shared" si="3"/>
        <v>-3330627.9539258098</v>
      </c>
      <c r="J32" s="333">
        <f t="shared" si="4"/>
        <v>-0.40106446431605441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>
        <v>14113167.93712</v>
      </c>
      <c r="F33" s="747">
        <v>557791</v>
      </c>
      <c r="G33" s="747">
        <v>9321149.5600000005</v>
      </c>
      <c r="H33" s="747">
        <v>9408778.6247466672</v>
      </c>
      <c r="I33" s="45">
        <f t="shared" si="3"/>
        <v>-87629.0647466667</v>
      </c>
      <c r="J33" s="333">
        <f t="shared" si="4"/>
        <v>-9.3135430475734179E-3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>
        <v>9511000</v>
      </c>
      <c r="F34" s="747">
        <v>365550</v>
      </c>
      <c r="G34" s="747">
        <v>2658030</v>
      </c>
      <c r="H34" s="747">
        <v>6340666.666666667</v>
      </c>
      <c r="I34" s="45">
        <f t="shared" si="3"/>
        <v>-3682636.666666667</v>
      </c>
      <c r="J34" s="333">
        <f t="shared" si="4"/>
        <v>-0.58079644622016613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>
        <v>72195458.319807321</v>
      </c>
      <c r="F35" s="747">
        <v>2290576.83</v>
      </c>
      <c r="G35" s="747">
        <v>33909232.630000003</v>
      </c>
      <c r="H35" s="747">
        <f>44881242.8798715+3987000</f>
        <v>48868242.879871503</v>
      </c>
      <c r="I35" s="45">
        <f t="shared" si="3"/>
        <v>-14959010.2498715</v>
      </c>
      <c r="J35" s="333">
        <f t="shared" si="4"/>
        <v>-0.30610902640072241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>D36/2</f>
        <v>0</v>
      </c>
      <c r="I36" s="45">
        <f t="shared" si="3"/>
        <v>0</v>
      </c>
      <c r="J36" s="333" t="str">
        <f t="shared" si="4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5">SUM(C26:C36)</f>
        <v>284874947</v>
      </c>
      <c r="D37" s="75">
        <f>SUM(D26:D36)</f>
        <v>256505812.39300406</v>
      </c>
      <c r="E37" s="74">
        <f>SUM(E26:E36)</f>
        <v>283290473.93799806</v>
      </c>
      <c r="F37" s="74">
        <f t="shared" si="5"/>
        <v>15527438.83</v>
      </c>
      <c r="G37" s="74">
        <f t="shared" si="5"/>
        <v>182918595.22</v>
      </c>
      <c r="H37" s="74">
        <f t="shared" si="5"/>
        <v>174564874.92866933</v>
      </c>
      <c r="I37" s="74">
        <f t="shared" si="3"/>
        <v>8353720.2913306653</v>
      </c>
      <c r="J37" s="334">
        <f t="shared" si="4"/>
        <v>4.785453141557923E-2</v>
      </c>
      <c r="K37" s="146">
        <f t="shared" si="5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6">C23-C37</f>
        <v>-25301423</v>
      </c>
      <c r="D39" s="52">
        <f t="shared" si="6"/>
        <v>25616023.120960057</v>
      </c>
      <c r="E39" s="51">
        <f t="shared" si="6"/>
        <v>6971964.550966084</v>
      </c>
      <c r="F39" s="51">
        <f t="shared" si="6"/>
        <v>-6976044.8300000001</v>
      </c>
      <c r="G39" s="51">
        <f t="shared" si="6"/>
        <v>44272529.469999999</v>
      </c>
      <c r="H39" s="51">
        <f t="shared" si="6"/>
        <v>13090659.997306705</v>
      </c>
      <c r="I39" s="103">
        <f>I23-I37</f>
        <v>31181869.472693294</v>
      </c>
      <c r="J39" s="103">
        <f t="shared" si="4"/>
        <v>2.3819936870340155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>
        <v>60722000</v>
      </c>
      <c r="F40" s="747"/>
      <c r="G40" s="747"/>
      <c r="H40" s="747">
        <v>53391333.333333336</v>
      </c>
      <c r="I40" s="48">
        <f>G40-H40</f>
        <v>-53391333.333333336</v>
      </c>
      <c r="J40" s="103">
        <f t="shared" si="4"/>
        <v>-1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4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4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7">C39+SUM(C40:C42)</f>
        <v>-25301423</v>
      </c>
      <c r="D43" s="254">
        <f t="shared" si="7"/>
        <v>105703023.12096006</v>
      </c>
      <c r="E43" s="255">
        <f t="shared" si="7"/>
        <v>67693964.550966084</v>
      </c>
      <c r="F43" s="255">
        <f t="shared" si="7"/>
        <v>-6976044.8300000001</v>
      </c>
      <c r="G43" s="255">
        <f t="shared" si="7"/>
        <v>44272529.469999999</v>
      </c>
      <c r="H43" s="255">
        <f t="shared" si="7"/>
        <v>66481993.33064004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8">C43-C44</f>
        <v>-25301423</v>
      </c>
      <c r="D45" s="52">
        <f t="shared" si="8"/>
        <v>105703023.12096006</v>
      </c>
      <c r="E45" s="51">
        <f t="shared" si="8"/>
        <v>67693964.550966084</v>
      </c>
      <c r="F45" s="51">
        <f t="shared" si="8"/>
        <v>-6976044.8300000001</v>
      </c>
      <c r="G45" s="51">
        <f t="shared" si="8"/>
        <v>44272529.469999999</v>
      </c>
      <c r="H45" s="51">
        <f t="shared" si="8"/>
        <v>66481993.33064004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9">SUM(C45:C46)</f>
        <v>-25301423</v>
      </c>
      <c r="D47" s="533">
        <f t="shared" si="9"/>
        <v>105703023.12096006</v>
      </c>
      <c r="E47" s="531">
        <f t="shared" si="9"/>
        <v>67693964.550966084</v>
      </c>
      <c r="F47" s="531">
        <f t="shared" si="9"/>
        <v>-6976044.8300000001</v>
      </c>
      <c r="G47" s="531">
        <f t="shared" si="9"/>
        <v>44272529.469999999</v>
      </c>
      <c r="H47" s="531">
        <f t="shared" si="9"/>
        <v>66481993.33064004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0">C47+C48</f>
        <v>-25301423</v>
      </c>
      <c r="D49" s="78">
        <f t="shared" si="10"/>
        <v>105703023.12096006</v>
      </c>
      <c r="E49" s="77">
        <f t="shared" si="10"/>
        <v>67693964.550966084</v>
      </c>
      <c r="F49" s="77">
        <f t="shared" si="10"/>
        <v>-6976044.8300000001</v>
      </c>
      <c r="G49" s="77">
        <f t="shared" si="10"/>
        <v>44272529.469999999</v>
      </c>
      <c r="H49" s="77">
        <f t="shared" si="10"/>
        <v>66481993.33064004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1">C23+SUM(C40:C42)</f>
        <v>259573524</v>
      </c>
      <c r="D54" s="63">
        <f t="shared" si="11"/>
        <v>362208835.51396412</v>
      </c>
      <c r="E54" s="63">
        <f t="shared" si="11"/>
        <v>350984438.48896414</v>
      </c>
      <c r="F54" s="63">
        <f t="shared" si="11"/>
        <v>8551394</v>
      </c>
      <c r="G54" s="63">
        <f t="shared" si="11"/>
        <v>227191124.69</v>
      </c>
      <c r="H54" s="63">
        <f t="shared" si="11"/>
        <v>241046868.25930938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4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90" t="str">
        <f>muni&amp; " - "&amp;S71D&amp; " - "&amp;date</f>
        <v>NW385 Ramotshere Moiloa - Table C5 Monthly Budget Statement - Capital Expenditure (municipal vote, standard classification and funding) - M11 May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x14ac:dyDescent="0.25">
      <c r="A2" s="988" t="str">
        <f>Vdesc</f>
        <v>Vote Description</v>
      </c>
      <c r="B2" s="997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98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262880</v>
      </c>
      <c r="D25" s="259">
        <f>'C5C'!D187</f>
        <v>2150000</v>
      </c>
      <c r="E25" s="45">
        <f>'C5C'!E187</f>
        <v>2150000</v>
      </c>
      <c r="F25" s="45">
        <f>'C5C'!F187</f>
        <v>0</v>
      </c>
      <c r="G25" s="45">
        <f>'C5C'!G187</f>
        <v>235667</v>
      </c>
      <c r="H25" s="45">
        <f>'C5C'!H187</f>
        <v>3997000</v>
      </c>
      <c r="I25" s="45">
        <f>'C5C'!I187</f>
        <v>-3761333</v>
      </c>
      <c r="J25" s="333">
        <f t="shared" ref="J25:J39" si="3">IF(I25=0,"",I25/H25)</f>
        <v>-0.94103902927195393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38926283</v>
      </c>
      <c r="D27" s="259">
        <f>'C5C'!D209</f>
        <v>96595000</v>
      </c>
      <c r="E27" s="45">
        <f>'C5C'!E209</f>
        <v>58586000</v>
      </c>
      <c r="F27" s="45">
        <f>'C5C'!F209</f>
        <v>3701625</v>
      </c>
      <c r="G27" s="45">
        <f>'C5C'!G209</f>
        <v>45891056</v>
      </c>
      <c r="H27" s="45">
        <f>'C5C'!H209</f>
        <v>61833750</v>
      </c>
      <c r="I27" s="45">
        <f>'C5C'!I209</f>
        <v>-15942694</v>
      </c>
      <c r="J27" s="333">
        <f t="shared" si="3"/>
        <v>-0.25783158873592493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8543749</v>
      </c>
      <c r="D28" s="259">
        <f>'C5C'!D220</f>
        <v>6958023.12096</v>
      </c>
      <c r="E28" s="45">
        <f>'C5C'!E220</f>
        <v>6957761.12096</v>
      </c>
      <c r="F28" s="45">
        <f>'C5C'!F220</f>
        <v>0</v>
      </c>
      <c r="G28" s="45">
        <f>'C5C'!G220</f>
        <v>7276257</v>
      </c>
      <c r="H28" s="45">
        <f>'C5C'!H220</f>
        <v>4637932.4139733333</v>
      </c>
      <c r="I28" s="45">
        <f>'C5C'!I220</f>
        <v>2638324.5860266667</v>
      </c>
      <c r="J28" s="333">
        <f t="shared" si="3"/>
        <v>0.56885791998128854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47732912</v>
      </c>
      <c r="D39" s="263">
        <f t="shared" si="4"/>
        <v>105703023.12096</v>
      </c>
      <c r="E39" s="162">
        <f t="shared" si="4"/>
        <v>67693761.120959997</v>
      </c>
      <c r="F39" s="162">
        <f t="shared" si="4"/>
        <v>3701625</v>
      </c>
      <c r="G39" s="162">
        <f t="shared" si="4"/>
        <v>53402980</v>
      </c>
      <c r="H39" s="162">
        <f t="shared" si="4"/>
        <v>70468682.413973331</v>
      </c>
      <c r="I39" s="74">
        <f t="shared" si="4"/>
        <v>-17065702.413973331</v>
      </c>
      <c r="J39" s="334">
        <f t="shared" si="3"/>
        <v>-0.24217427982716688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47732912</v>
      </c>
      <c r="D40" s="261">
        <f t="shared" si="5"/>
        <v>105703023.12096</v>
      </c>
      <c r="E40" s="74">
        <f t="shared" si="5"/>
        <v>67693761.120959997</v>
      </c>
      <c r="F40" s="74">
        <f t="shared" si="5"/>
        <v>3701625</v>
      </c>
      <c r="G40" s="74">
        <f t="shared" si="5"/>
        <v>53402980</v>
      </c>
      <c r="H40" s="74">
        <f t="shared" si="5"/>
        <v>70468682.413973331</v>
      </c>
      <c r="I40" s="74">
        <f t="shared" si="5"/>
        <v>-17065702.413973331</v>
      </c>
      <c r="J40" s="334">
        <f>IF(I40=0,"",I40/H40)</f>
        <v>-0.24217427982716688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262880</v>
      </c>
      <c r="D43" s="679">
        <f t="shared" si="6"/>
        <v>2150000</v>
      </c>
      <c r="E43" s="647">
        <f t="shared" si="6"/>
        <v>2150000</v>
      </c>
      <c r="F43" s="647">
        <f t="shared" si="6"/>
        <v>0</v>
      </c>
      <c r="G43" s="647">
        <f t="shared" si="6"/>
        <v>426571</v>
      </c>
      <c r="H43" s="647">
        <f t="shared" si="6"/>
        <v>1433333.3333333333</v>
      </c>
      <c r="I43" s="45">
        <f t="shared" ref="I43:I62" si="7">G43-H43</f>
        <v>-1006762.3333333333</v>
      </c>
      <c r="J43" s="333">
        <f>IF(I43=0,"",I43/H43)</f>
        <v>-0.7023923255813953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f>37822+48085+176973</f>
        <v>262880</v>
      </c>
      <c r="D46" s="767">
        <v>2150000</v>
      </c>
      <c r="E46" s="747">
        <v>2150000</v>
      </c>
      <c r="F46" s="747"/>
      <c r="G46" s="747">
        <v>426571</v>
      </c>
      <c r="H46" s="747">
        <v>1433333.3333333333</v>
      </c>
      <c r="I46" s="45">
        <f t="shared" si="7"/>
        <v>-1006762.3333333333</v>
      </c>
      <c r="J46" s="333">
        <f t="shared" si="8"/>
        <v>-0.7023923255813953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9">SUM(C48:C52)</f>
        <v>0</v>
      </c>
      <c r="D47" s="679">
        <f t="shared" si="9"/>
        <v>3873227.3529599998</v>
      </c>
      <c r="E47" s="647">
        <f t="shared" si="9"/>
        <v>3873227.3529599998</v>
      </c>
      <c r="F47" s="647">
        <f t="shared" si="9"/>
        <v>0</v>
      </c>
      <c r="G47" s="647">
        <f t="shared" si="9"/>
        <v>7472168</v>
      </c>
      <c r="H47" s="647">
        <f t="shared" si="9"/>
        <v>2582151.5686399997</v>
      </c>
      <c r="I47" s="45">
        <f t="shared" si="7"/>
        <v>4890016.4313600007</v>
      </c>
      <c r="J47" s="333">
        <f t="shared" si="8"/>
        <v>1.8937759079477803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>D48/2</f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2410327.3529599998</v>
      </c>
      <c r="E49" s="747">
        <v>2410327.3529599998</v>
      </c>
      <c r="F49" s="747"/>
      <c r="G49" s="747">
        <v>3837983</v>
      </c>
      <c r="H49" s="747">
        <v>1606884.9019733332</v>
      </c>
      <c r="I49" s="45">
        <f t="shared" si="7"/>
        <v>2231098.0980266668</v>
      </c>
      <c r="J49" s="333">
        <f t="shared" si="8"/>
        <v>1.3884616721999001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1462900</v>
      </c>
      <c r="E50" s="747">
        <v>1462900</v>
      </c>
      <c r="F50" s="747"/>
      <c r="G50" s="747">
        <v>3634185</v>
      </c>
      <c r="H50" s="747">
        <v>975266.66666666663</v>
      </c>
      <c r="I50" s="45">
        <f t="shared" si="7"/>
        <v>2658918.3333333335</v>
      </c>
      <c r="J50" s="333">
        <f t="shared" si="8"/>
        <v>2.7263500581037667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>D51/2</f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>D52/2</f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0">SUM(C54:C56)</f>
        <v>38926283</v>
      </c>
      <c r="D53" s="679">
        <f t="shared" si="10"/>
        <v>79545000</v>
      </c>
      <c r="E53" s="647">
        <f t="shared" si="10"/>
        <v>41536000</v>
      </c>
      <c r="F53" s="647">
        <f t="shared" si="10"/>
        <v>2917932</v>
      </c>
      <c r="G53" s="647">
        <f t="shared" si="10"/>
        <v>31803684</v>
      </c>
      <c r="H53" s="647">
        <f t="shared" si="10"/>
        <v>53030000</v>
      </c>
      <c r="I53" s="45">
        <f t="shared" si="7"/>
        <v>-21226316</v>
      </c>
      <c r="J53" s="333">
        <f t="shared" si="8"/>
        <v>-0.40026996039977369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>D54/2</f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38926283</v>
      </c>
      <c r="D55" s="767">
        <v>79545000</v>
      </c>
      <c r="E55" s="747">
        <v>41536000</v>
      </c>
      <c r="F55" s="747">
        <v>2917932</v>
      </c>
      <c r="G55" s="747">
        <f>28885752+F55</f>
        <v>31803684</v>
      </c>
      <c r="H55" s="747">
        <v>53030000</v>
      </c>
      <c r="I55" s="45">
        <f t="shared" si="7"/>
        <v>-21226316</v>
      </c>
      <c r="J55" s="333">
        <f t="shared" si="8"/>
        <v>-0.40026996039977369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>D56/2</f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1">SUM(C58:C61)</f>
        <v>8543749</v>
      </c>
      <c r="D57" s="679">
        <f t="shared" si="11"/>
        <v>20134795.767999999</v>
      </c>
      <c r="E57" s="647">
        <f t="shared" si="11"/>
        <v>20134795.767999999</v>
      </c>
      <c r="F57" s="647">
        <f t="shared" si="11"/>
        <v>783693</v>
      </c>
      <c r="G57" s="647">
        <f t="shared" si="11"/>
        <v>13013107</v>
      </c>
      <c r="H57" s="647">
        <f t="shared" si="11"/>
        <v>13423197.1786667</v>
      </c>
      <c r="I57" s="45">
        <f t="shared" si="7"/>
        <v>-410090.17866669968</v>
      </c>
      <c r="J57" s="333">
        <f t="shared" si="8"/>
        <v>-3.0550857087792042E-2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>
        <v>16000000</v>
      </c>
      <c r="F58" s="747">
        <v>783693</v>
      </c>
      <c r="G58" s="747">
        <f>8595229+F58</f>
        <v>9378922</v>
      </c>
      <c r="H58" s="747">
        <f>10666666.6666667</f>
        <v>10666666.6666667</v>
      </c>
      <c r="I58" s="45">
        <f t="shared" si="7"/>
        <v>-1287744.6666666996</v>
      </c>
      <c r="J58" s="333">
        <f t="shared" si="8"/>
        <v>-0.12072606250000271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>
        <v>3500000</v>
      </c>
      <c r="F59" s="747"/>
      <c r="G59" s="747">
        <v>3634185</v>
      </c>
      <c r="H59" s="747">
        <v>2333333.3333333335</v>
      </c>
      <c r="I59" s="45">
        <f t="shared" si="7"/>
        <v>1300851.6666666665</v>
      </c>
      <c r="J59" s="333">
        <f t="shared" si="8"/>
        <v>0.557507857142857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>
        <v>0</v>
      </c>
      <c r="F60" s="770"/>
      <c r="G60" s="770"/>
      <c r="H60" s="747">
        <f>D60/12*7</f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f>2184+8541565</f>
        <v>8543749</v>
      </c>
      <c r="D61" s="767">
        <v>634795.76800000004</v>
      </c>
      <c r="E61" s="747">
        <v>634795.76800000004</v>
      </c>
      <c r="F61" s="747"/>
      <c r="G61" s="747"/>
      <c r="H61" s="747">
        <v>423197.17866666667</v>
      </c>
      <c r="I61" s="45">
        <f t="shared" si="7"/>
        <v>-423197.17866666667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>D62/2</f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47732912</v>
      </c>
      <c r="D63" s="545">
        <f t="shared" ref="D63:I63" si="12">D43+D47+D53+D57+D62</f>
        <v>105703023.12096</v>
      </c>
      <c r="E63" s="481">
        <f t="shared" si="12"/>
        <v>67694023.120959997</v>
      </c>
      <c r="F63" s="481">
        <f t="shared" si="12"/>
        <v>3701625</v>
      </c>
      <c r="G63" s="481">
        <f t="shared" si="12"/>
        <v>52715530</v>
      </c>
      <c r="H63" s="481">
        <f t="shared" si="12"/>
        <v>70468682.080640033</v>
      </c>
      <c r="I63" s="481">
        <f t="shared" si="12"/>
        <v>-17753152.080640033</v>
      </c>
      <c r="J63" s="546">
        <f t="shared" si="8"/>
        <v>-0.25192967367155267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80087000</v>
      </c>
      <c r="E66" s="747">
        <v>60722000</v>
      </c>
      <c r="F66" s="747">
        <v>3701625</v>
      </c>
      <c r="G66" s="747">
        <f>33311467+F66</f>
        <v>37013092</v>
      </c>
      <c r="H66" s="747">
        <v>53391333.333333336</v>
      </c>
      <c r="I66" s="45">
        <f t="shared" ref="I66:I74" si="13">G66-H66</f>
        <v>-16378241.333333336</v>
      </c>
      <c r="J66" s="333">
        <f t="shared" ref="J66:J74" si="14">IF(I66=0,"",I66/H66)</f>
        <v>-0.30675842521258134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3"/>
        <v>0</v>
      </c>
      <c r="J67" s="333" t="str">
        <f t="shared" si="14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3"/>
        <v>0</v>
      </c>
      <c r="J68" s="333" t="str">
        <f t="shared" si="14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3"/>
        <v>0</v>
      </c>
      <c r="J69" s="338" t="str">
        <f t="shared" si="14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15">SUM(C66:C69)</f>
        <v>0</v>
      </c>
      <c r="D70" s="260">
        <f t="shared" si="15"/>
        <v>80087000</v>
      </c>
      <c r="E70" s="51">
        <f t="shared" si="15"/>
        <v>60722000</v>
      </c>
      <c r="F70" s="51">
        <f t="shared" si="15"/>
        <v>3701625</v>
      </c>
      <c r="G70" s="51">
        <f t="shared" si="15"/>
        <v>37013092</v>
      </c>
      <c r="H70" s="51">
        <f t="shared" si="15"/>
        <v>53391333.333333336</v>
      </c>
      <c r="I70" s="51">
        <f t="shared" si="13"/>
        <v>-16378241.333333336</v>
      </c>
      <c r="J70" s="147">
        <f t="shared" si="14"/>
        <v>-0.30675842521258134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3"/>
        <v>0</v>
      </c>
      <c r="J71" s="333" t="str">
        <f t="shared" si="14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>
        <v>6971761.0034363791</v>
      </c>
      <c r="F73" s="765"/>
      <c r="G73" s="765">
        <v>16389888</v>
      </c>
      <c r="H73" s="747">
        <f>17077348+750</f>
        <v>17078098</v>
      </c>
      <c r="I73" s="100">
        <f t="shared" si="13"/>
        <v>-688210</v>
      </c>
      <c r="J73" s="338">
        <f t="shared" si="14"/>
        <v>-4.0297813023440904E-2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16">SUM(C70:C73)</f>
        <v>0</v>
      </c>
      <c r="D74" s="266">
        <f t="shared" si="16"/>
        <v>105703023.12096</v>
      </c>
      <c r="E74" s="77">
        <f t="shared" si="16"/>
        <v>67693761.003436387</v>
      </c>
      <c r="F74" s="77">
        <f>SUM(F70:F73)</f>
        <v>3701625</v>
      </c>
      <c r="G74" s="77">
        <f>SUM(G70:G73)</f>
        <v>53402980</v>
      </c>
      <c r="H74" s="77">
        <f>SUM(H70:H73)</f>
        <v>70469431.333333343</v>
      </c>
      <c r="I74" s="77">
        <f t="shared" si="13"/>
        <v>-17066451.333333343</v>
      </c>
      <c r="J74" s="336">
        <f t="shared" si="14"/>
        <v>-0.24218233367892378</v>
      </c>
      <c r="K74" s="235">
        <f t="shared" si="16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1000" t="s">
        <v>176</v>
      </c>
      <c r="B77" s="1000"/>
      <c r="C77" s="1000"/>
      <c r="D77" s="1000"/>
      <c r="E77" s="1000"/>
      <c r="F77" s="1000"/>
      <c r="G77" s="1000"/>
      <c r="H77" s="1000"/>
      <c r="I77" s="1000"/>
      <c r="J77" s="1000"/>
      <c r="K77" s="1000"/>
    </row>
    <row r="78" spans="1:12" ht="12" customHeight="1" x14ac:dyDescent="0.25">
      <c r="A78" s="1000" t="s">
        <v>653</v>
      </c>
      <c r="B78" s="1000"/>
      <c r="C78" s="1000"/>
      <c r="D78" s="1000"/>
      <c r="E78" s="1000"/>
      <c r="F78" s="1000"/>
      <c r="G78" s="1000"/>
      <c r="H78" s="1000"/>
      <c r="I78" s="1000"/>
      <c r="J78" s="1000"/>
      <c r="K78" s="1000"/>
    </row>
    <row r="79" spans="1:12" ht="12" customHeight="1" x14ac:dyDescent="0.25">
      <c r="A79" s="1001" t="s">
        <v>654</v>
      </c>
      <c r="B79" s="1000"/>
      <c r="C79" s="1000"/>
      <c r="D79" s="1000"/>
      <c r="E79" s="1000"/>
      <c r="F79" s="1000"/>
      <c r="G79" s="1000"/>
      <c r="H79" s="1000"/>
      <c r="I79" s="1000"/>
      <c r="J79" s="1000"/>
      <c r="K79" s="1000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47732912</v>
      </c>
      <c r="D86" s="703">
        <f t="shared" ref="D86:K86" si="17">D40-D74</f>
        <v>0</v>
      </c>
      <c r="E86" s="703">
        <f t="shared" si="17"/>
        <v>0.11752361059188843</v>
      </c>
      <c r="F86" s="703">
        <f t="shared" si="17"/>
        <v>0</v>
      </c>
      <c r="G86" s="703">
        <f t="shared" si="17"/>
        <v>0</v>
      </c>
      <c r="H86" s="703">
        <f t="shared" si="17"/>
        <v>-748.91936001181602</v>
      </c>
      <c r="I86" s="703"/>
      <c r="J86" s="703"/>
      <c r="K86" s="703">
        <f t="shared" si="17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17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90" t="str">
        <f>muni&amp; " - "&amp;S71D&amp; " - "&amp;"A"&amp; " - "&amp;date</f>
        <v>NW385 Ramotshere Moiloa - Table C5 Monthly Budget Statement - Capital Expenditure (municipal vote, standard classification and funding) - A - M11 May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262880</v>
      </c>
      <c r="D187" s="447">
        <f>SUM(D188:D197)</f>
        <v>2150000</v>
      </c>
      <c r="E187" s="444">
        <f t="shared" ref="E187:K187" si="24">SUM(E188:E197)</f>
        <v>2150000</v>
      </c>
      <c r="F187" s="446">
        <f t="shared" si="24"/>
        <v>0</v>
      </c>
      <c r="G187" s="444">
        <f t="shared" si="24"/>
        <v>235667</v>
      </c>
      <c r="H187" s="446">
        <f t="shared" si="24"/>
        <v>3997000</v>
      </c>
      <c r="I187" s="45">
        <f t="shared" si="16"/>
        <v>-3761333</v>
      </c>
      <c r="J187" s="333">
        <f t="shared" si="17"/>
        <v>-0.94103902927195393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>
        <v>262880</v>
      </c>
      <c r="D189" s="759">
        <v>550000</v>
      </c>
      <c r="E189" s="747">
        <v>550000</v>
      </c>
      <c r="F189" s="760"/>
      <c r="G189" s="747">
        <v>235667</v>
      </c>
      <c r="H189" s="760">
        <v>366666.66666666669</v>
      </c>
      <c r="I189" s="45">
        <f t="shared" si="16"/>
        <v>-130999.66666666669</v>
      </c>
      <c r="J189" s="333">
        <f t="shared" si="17"/>
        <v>-0.35727181818181819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>
        <v>1600000</v>
      </c>
      <c r="F190" s="760"/>
      <c r="G190" s="747"/>
      <c r="H190" s="760">
        <v>2897000</v>
      </c>
      <c r="I190" s="45">
        <f t="shared" si="16"/>
        <v>-2897000</v>
      </c>
      <c r="J190" s="333">
        <f t="shared" si="17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v>1100000</v>
      </c>
      <c r="E191" s="747"/>
      <c r="F191" s="760"/>
      <c r="G191" s="747"/>
      <c r="H191" s="760">
        <v>733333.33333333337</v>
      </c>
      <c r="I191" s="45">
        <f t="shared" si="16"/>
        <v>-733333.33333333337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f>D192/12*7</f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ref="H193:H199" si="25">D193/2</f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5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5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5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5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6">SUM(C199:C208)</f>
        <v>0</v>
      </c>
      <c r="D198" s="447">
        <f t="shared" si="26"/>
        <v>0</v>
      </c>
      <c r="E198" s="444">
        <f t="shared" si="26"/>
        <v>0</v>
      </c>
      <c r="F198" s="446">
        <f t="shared" si="26"/>
        <v>0</v>
      </c>
      <c r="G198" s="444">
        <f t="shared" si="26"/>
        <v>0</v>
      </c>
      <c r="H198" s="446">
        <f t="shared" si="26"/>
        <v>0</v>
      </c>
      <c r="I198" s="45">
        <f t="shared" si="16"/>
        <v>0</v>
      </c>
      <c r="J198" s="333" t="str">
        <f t="shared" si="17"/>
        <v/>
      </c>
      <c r="K198" s="445">
        <f t="shared" si="26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/>
      <c r="H199" s="760">
        <f t="shared" si="25"/>
        <v>0</v>
      </c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7">G200-H200</f>
        <v>0</v>
      </c>
      <c r="J200" s="333" t="str">
        <f t="shared" ref="J200:J263" si="28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7"/>
        <v>0</v>
      </c>
      <c r="J201" s="333" t="str">
        <f t="shared" si="28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7"/>
        <v>0</v>
      </c>
      <c r="J202" s="333" t="str">
        <f t="shared" si="28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7"/>
        <v>0</v>
      </c>
      <c r="J203" s="333" t="str">
        <f t="shared" si="28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7"/>
        <v>0</v>
      </c>
      <c r="J204" s="333" t="str">
        <f t="shared" si="28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7"/>
        <v>0</v>
      </c>
      <c r="J205" s="333" t="str">
        <f t="shared" si="28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7"/>
        <v>0</v>
      </c>
      <c r="J206" s="333" t="str">
        <f t="shared" si="28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7"/>
        <v>0</v>
      </c>
      <c r="J207" s="333" t="str">
        <f t="shared" si="28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7"/>
        <v>0</v>
      </c>
      <c r="J208" s="333" t="str">
        <f t="shared" si="28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29">SUM(C210:C219)</f>
        <v>38926283</v>
      </c>
      <c r="D209" s="447">
        <f t="shared" si="29"/>
        <v>96595000</v>
      </c>
      <c r="E209" s="444">
        <f t="shared" si="29"/>
        <v>58586000</v>
      </c>
      <c r="F209" s="446">
        <f t="shared" si="29"/>
        <v>3701625</v>
      </c>
      <c r="G209" s="444">
        <f>SUM(G210:G219)</f>
        <v>45891056</v>
      </c>
      <c r="H209" s="446">
        <f t="shared" si="29"/>
        <v>61833750</v>
      </c>
      <c r="I209" s="45">
        <f t="shared" si="27"/>
        <v>-15942694</v>
      </c>
      <c r="J209" s="333">
        <f t="shared" si="28"/>
        <v>-0.25783158873592493</v>
      </c>
      <c r="K209" s="445">
        <f t="shared" si="29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>
        <v>16000000</v>
      </c>
      <c r="F210" s="475">
        <v>783693</v>
      </c>
      <c r="G210" s="387">
        <f>9282679+F210</f>
        <v>10066372</v>
      </c>
      <c r="H210" s="475">
        <v>10666666.666666666</v>
      </c>
      <c r="I210" s="45">
        <f t="shared" ref="I210:I216" si="30">G210-H210</f>
        <v>-600294.66666666605</v>
      </c>
      <c r="J210" s="333">
        <f t="shared" si="28"/>
        <v>-5.6277624999999942E-2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>
        <v>0</v>
      </c>
      <c r="F211" s="475"/>
      <c r="G211" s="387"/>
      <c r="H211" s="475">
        <f>D211/12*7</f>
        <v>0</v>
      </c>
      <c r="I211" s="45">
        <f t="shared" si="30"/>
        <v>0</v>
      </c>
      <c r="J211" s="333" t="str">
        <f t="shared" si="28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>
        <v>17621000</v>
      </c>
      <c r="F212" s="475"/>
      <c r="G212" s="387">
        <v>4856964</v>
      </c>
      <c r="H212" s="475">
        <v>17940416.666666664</v>
      </c>
      <c r="I212" s="45">
        <f t="shared" si="30"/>
        <v>-13083452.666666664</v>
      </c>
      <c r="J212" s="333">
        <f t="shared" si="28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>
        <v>38926283</v>
      </c>
      <c r="D213" s="386">
        <v>37690000</v>
      </c>
      <c r="E213" s="387">
        <v>14465000</v>
      </c>
      <c r="F213" s="475">
        <v>2917932</v>
      </c>
      <c r="G213" s="387">
        <f>24028788+F213</f>
        <v>26946720</v>
      </c>
      <c r="H213" s="475">
        <v>25126666.666666668</v>
      </c>
      <c r="I213" s="45">
        <f t="shared" si="30"/>
        <v>1820053.3333333321</v>
      </c>
      <c r="J213" s="333">
        <f t="shared" si="28"/>
        <v>7.2435128681347785E-2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>
        <v>0</v>
      </c>
      <c r="F214" s="475"/>
      <c r="G214" s="387">
        <v>386815</v>
      </c>
      <c r="H214" s="475">
        <v>1100000</v>
      </c>
      <c r="I214" s="45">
        <f t="shared" si="30"/>
        <v>-713185</v>
      </c>
      <c r="J214" s="333">
        <f t="shared" si="28"/>
        <v>-0.64834999999999998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>
        <v>7000000</v>
      </c>
      <c r="F215" s="475"/>
      <c r="G215" s="387"/>
      <c r="H215" s="475">
        <v>4666666.666666667</v>
      </c>
      <c r="I215" s="45">
        <f t="shared" si="30"/>
        <v>-4666666.666666667</v>
      </c>
      <c r="J215" s="333">
        <f t="shared" si="28"/>
        <v>-1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>
        <v>3500000</v>
      </c>
      <c r="F216" s="475"/>
      <c r="G216" s="387">
        <v>3634185</v>
      </c>
      <c r="H216" s="475">
        <v>2333333.3333333335</v>
      </c>
      <c r="I216" s="45">
        <f t="shared" si="30"/>
        <v>1300851.6666666665</v>
      </c>
      <c r="J216" s="333">
        <f t="shared" si="28"/>
        <v>0.557507857142857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>D217/2</f>
        <v>0</v>
      </c>
      <c r="I217" s="45">
        <f t="shared" si="27"/>
        <v>0</v>
      </c>
      <c r="J217" s="333" t="str">
        <f t="shared" si="28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>D218/2</f>
        <v>0</v>
      </c>
      <c r="I218" s="45">
        <f t="shared" si="27"/>
        <v>0</v>
      </c>
      <c r="J218" s="333" t="str">
        <f t="shared" si="28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>D219/2</f>
        <v>0</v>
      </c>
      <c r="I219" s="45">
        <f t="shared" si="27"/>
        <v>0</v>
      </c>
      <c r="J219" s="333" t="str">
        <f t="shared" si="28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1">SUM(C221:C230)</f>
        <v>8543749</v>
      </c>
      <c r="D220" s="447">
        <f t="shared" si="31"/>
        <v>6958023.12096</v>
      </c>
      <c r="E220" s="444">
        <f t="shared" si="31"/>
        <v>6957761.12096</v>
      </c>
      <c r="F220" s="446">
        <f t="shared" si="31"/>
        <v>0</v>
      </c>
      <c r="G220" s="444">
        <f t="shared" si="31"/>
        <v>7276257</v>
      </c>
      <c r="H220" s="446">
        <f t="shared" si="31"/>
        <v>4637932.4139733333</v>
      </c>
      <c r="I220" s="45">
        <f t="shared" si="27"/>
        <v>2638324.5860266667</v>
      </c>
      <c r="J220" s="333">
        <f t="shared" si="28"/>
        <v>0.56885791998128854</v>
      </c>
      <c r="K220" s="445">
        <f t="shared" si="31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>
        <v>8543749</v>
      </c>
      <c r="D221" s="386">
        <v>634795.76800000004</v>
      </c>
      <c r="E221" s="387">
        <v>634795.76800000004</v>
      </c>
      <c r="F221" s="475"/>
      <c r="G221" s="387"/>
      <c r="H221" s="475">
        <v>423197.17866666667</v>
      </c>
      <c r="I221" s="45">
        <f t="shared" si="27"/>
        <v>-423197.17866666667</v>
      </c>
      <c r="J221" s="333">
        <f t="shared" si="28"/>
        <v>-1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>
        <v>2410327.3529599998</v>
      </c>
      <c r="F222" s="475"/>
      <c r="G222" s="387">
        <v>3837983</v>
      </c>
      <c r="H222" s="475">
        <v>1606884.9019733332</v>
      </c>
      <c r="I222" s="45">
        <f t="shared" si="27"/>
        <v>2231098.0980266668</v>
      </c>
      <c r="J222" s="333">
        <f t="shared" si="28"/>
        <v>1.3884616721999001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>
        <v>0</v>
      </c>
      <c r="F223" s="475"/>
      <c r="G223" s="387"/>
      <c r="H223" s="475">
        <f>D223/12*7</f>
        <v>0</v>
      </c>
      <c r="I223" s="45">
        <f t="shared" si="27"/>
        <v>0</v>
      </c>
      <c r="J223" s="333" t="str">
        <f t="shared" si="28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>
        <v>1302900</v>
      </c>
      <c r="F224" s="475"/>
      <c r="G224" s="387"/>
      <c r="H224" s="475">
        <v>868600</v>
      </c>
      <c r="I224" s="45">
        <f t="shared" si="27"/>
        <v>-868600</v>
      </c>
      <c r="J224" s="333">
        <f t="shared" si="28"/>
        <v>-1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v>2450000</v>
      </c>
      <c r="E225" s="387">
        <v>2450000</v>
      </c>
      <c r="F225" s="475"/>
      <c r="G225" s="387"/>
      <c r="H225" s="475">
        <v>1633333.3333333333</v>
      </c>
      <c r="I225" s="45">
        <f t="shared" si="27"/>
        <v>-1633333.3333333333</v>
      </c>
      <c r="J225" s="333">
        <f t="shared" si="28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>
        <v>0</v>
      </c>
      <c r="F226" s="475"/>
      <c r="G226" s="387"/>
      <c r="H226" s="475">
        <f>D226/12*8</f>
        <v>0</v>
      </c>
      <c r="I226" s="45">
        <f t="shared" si="27"/>
        <v>0</v>
      </c>
      <c r="J226" s="333" t="str">
        <f t="shared" si="28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>
        <v>159738</v>
      </c>
      <c r="F227" s="475"/>
      <c r="G227" s="387">
        <v>3438274</v>
      </c>
      <c r="H227" s="475">
        <f>106667-750</f>
        <v>105917</v>
      </c>
      <c r="I227" s="45">
        <f t="shared" si="27"/>
        <v>3332357</v>
      </c>
      <c r="J227" s="333">
        <f t="shared" si="28"/>
        <v>31.461965501288745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>D228/2</f>
        <v>0</v>
      </c>
      <c r="I228" s="45">
        <f t="shared" si="27"/>
        <v>0</v>
      </c>
      <c r="J228" s="333" t="str">
        <f t="shared" si="28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>D229/2</f>
        <v>0</v>
      </c>
      <c r="I229" s="45">
        <f t="shared" si="27"/>
        <v>0</v>
      </c>
      <c r="J229" s="333" t="str">
        <f t="shared" si="28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>D230/2</f>
        <v>0</v>
      </c>
      <c r="I230" s="45">
        <f t="shared" si="27"/>
        <v>0</v>
      </c>
      <c r="J230" s="333" t="str">
        <f t="shared" si="28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2">SUM(C232:C241)</f>
        <v>0</v>
      </c>
      <c r="D231" s="447">
        <f t="shared" si="32"/>
        <v>0</v>
      </c>
      <c r="E231" s="444">
        <f t="shared" si="32"/>
        <v>0</v>
      </c>
      <c r="F231" s="446">
        <f t="shared" si="32"/>
        <v>0</v>
      </c>
      <c r="G231" s="444">
        <f t="shared" si="32"/>
        <v>0</v>
      </c>
      <c r="H231" s="446">
        <f t="shared" si="32"/>
        <v>0</v>
      </c>
      <c r="I231" s="45">
        <f t="shared" si="27"/>
        <v>0</v>
      </c>
      <c r="J231" s="333" t="str">
        <f t="shared" si="28"/>
        <v/>
      </c>
      <c r="K231" s="445">
        <f t="shared" si="32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7"/>
        <v>0</v>
      </c>
      <c r="J232" s="333" t="str">
        <f t="shared" si="28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7"/>
        <v>0</v>
      </c>
      <c r="J233" s="333" t="str">
        <f t="shared" si="28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7"/>
        <v>0</v>
      </c>
      <c r="J234" s="333" t="str">
        <f t="shared" si="28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7"/>
        <v>0</v>
      </c>
      <c r="J235" s="333" t="str">
        <f t="shared" si="28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7"/>
        <v>0</v>
      </c>
      <c r="J236" s="333" t="str">
        <f t="shared" si="28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7"/>
        <v>0</v>
      </c>
      <c r="J237" s="333" t="str">
        <f t="shared" si="28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7"/>
        <v>0</v>
      </c>
      <c r="J238" s="333" t="str">
        <f t="shared" si="28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7"/>
        <v>0</v>
      </c>
      <c r="J239" s="333" t="str">
        <f t="shared" si="28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7"/>
        <v>0</v>
      </c>
      <c r="J240" s="333" t="str">
        <f t="shared" si="28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7"/>
        <v>0</v>
      </c>
      <c r="J241" s="333" t="str">
        <f t="shared" si="28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3">SUM(C243:C252)</f>
        <v>0</v>
      </c>
      <c r="D242" s="447">
        <f t="shared" si="33"/>
        <v>0</v>
      </c>
      <c r="E242" s="444">
        <f t="shared" si="33"/>
        <v>0</v>
      </c>
      <c r="F242" s="446">
        <f t="shared" si="33"/>
        <v>0</v>
      </c>
      <c r="G242" s="444">
        <f t="shared" si="33"/>
        <v>0</v>
      </c>
      <c r="H242" s="446">
        <f t="shared" si="33"/>
        <v>0</v>
      </c>
      <c r="I242" s="45">
        <f t="shared" si="27"/>
        <v>0</v>
      </c>
      <c r="J242" s="333" t="str">
        <f t="shared" si="28"/>
        <v/>
      </c>
      <c r="K242" s="445">
        <f t="shared" si="33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7"/>
        <v>0</v>
      </c>
      <c r="J243" s="333" t="str">
        <f t="shared" si="28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7"/>
        <v>0</v>
      </c>
      <c r="J244" s="333" t="str">
        <f t="shared" si="28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7"/>
        <v>0</v>
      </c>
      <c r="J245" s="333" t="str">
        <f t="shared" si="28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7"/>
        <v>0</v>
      </c>
      <c r="J246" s="333" t="str">
        <f t="shared" si="28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7"/>
        <v>0</v>
      </c>
      <c r="J247" s="333" t="str">
        <f t="shared" si="28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7"/>
        <v>0</v>
      </c>
      <c r="J248" s="333" t="str">
        <f t="shared" si="28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7"/>
        <v>0</v>
      </c>
      <c r="J249" s="333" t="str">
        <f t="shared" si="28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7"/>
        <v>0</v>
      </c>
      <c r="J250" s="333" t="str">
        <f t="shared" si="28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7"/>
        <v>0</v>
      </c>
      <c r="J251" s="333" t="str">
        <f t="shared" si="28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7"/>
        <v>0</v>
      </c>
      <c r="J252" s="333" t="str">
        <f t="shared" si="28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4">SUM(C254:C263)</f>
        <v>0</v>
      </c>
      <c r="D253" s="447">
        <f t="shared" si="34"/>
        <v>0</v>
      </c>
      <c r="E253" s="444">
        <f t="shared" si="34"/>
        <v>0</v>
      </c>
      <c r="F253" s="446">
        <f t="shared" si="34"/>
        <v>0</v>
      </c>
      <c r="G253" s="444">
        <f t="shared" si="34"/>
        <v>0</v>
      </c>
      <c r="H253" s="446">
        <f t="shared" si="34"/>
        <v>0</v>
      </c>
      <c r="I253" s="45">
        <f t="shared" si="27"/>
        <v>0</v>
      </c>
      <c r="J253" s="333" t="str">
        <f t="shared" si="28"/>
        <v/>
      </c>
      <c r="K253" s="445">
        <f t="shared" si="34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7"/>
        <v>0</v>
      </c>
      <c r="J254" s="333" t="str">
        <f t="shared" si="28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7"/>
        <v>0</v>
      </c>
      <c r="J255" s="333" t="str">
        <f t="shared" si="28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7"/>
        <v>0</v>
      </c>
      <c r="J256" s="333" t="str">
        <f t="shared" si="28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7"/>
        <v>0</v>
      </c>
      <c r="J257" s="333" t="str">
        <f t="shared" si="28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7"/>
        <v>0</v>
      </c>
      <c r="J258" s="333" t="str">
        <f t="shared" si="28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7"/>
        <v>0</v>
      </c>
      <c r="J259" s="333" t="str">
        <f t="shared" si="28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7"/>
        <v>0</v>
      </c>
      <c r="J260" s="333" t="str">
        <f t="shared" si="28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7"/>
        <v>0</v>
      </c>
      <c r="J261" s="333" t="str">
        <f t="shared" si="28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7"/>
        <v>0</v>
      </c>
      <c r="J262" s="333" t="str">
        <f t="shared" si="28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7"/>
        <v>0</v>
      </c>
      <c r="J263" s="333" t="str">
        <f t="shared" si="28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5">SUM(C265:C274)</f>
        <v>0</v>
      </c>
      <c r="D264" s="447">
        <f t="shared" si="35"/>
        <v>0</v>
      </c>
      <c r="E264" s="444">
        <f t="shared" si="35"/>
        <v>0</v>
      </c>
      <c r="F264" s="446">
        <f t="shared" si="35"/>
        <v>0</v>
      </c>
      <c r="G264" s="444">
        <f t="shared" si="35"/>
        <v>0</v>
      </c>
      <c r="H264" s="446">
        <f t="shared" si="35"/>
        <v>0</v>
      </c>
      <c r="I264" s="45">
        <f t="shared" ref="I264:I327" si="36">G264-H264</f>
        <v>0</v>
      </c>
      <c r="J264" s="333" t="str">
        <f t="shared" ref="J264:J327" si="37">IF(I264=0,"",I264/H264)</f>
        <v/>
      </c>
      <c r="K264" s="445">
        <f t="shared" si="35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6"/>
        <v>0</v>
      </c>
      <c r="J265" s="333" t="str">
        <f t="shared" si="37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6"/>
        <v>0</v>
      </c>
      <c r="J266" s="333" t="str">
        <f t="shared" si="37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6"/>
        <v>0</v>
      </c>
      <c r="J267" s="333" t="str">
        <f t="shared" si="37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6"/>
        <v>0</v>
      </c>
      <c r="J268" s="333" t="str">
        <f t="shared" si="37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6"/>
        <v>0</v>
      </c>
      <c r="J269" s="333" t="str">
        <f t="shared" si="37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6"/>
        <v>0</v>
      </c>
      <c r="J270" s="333" t="str">
        <f t="shared" si="37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6"/>
        <v>0</v>
      </c>
      <c r="J271" s="333" t="str">
        <f t="shared" si="37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6"/>
        <v>0</v>
      </c>
      <c r="J272" s="333" t="str">
        <f t="shared" si="37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6"/>
        <v>0</v>
      </c>
      <c r="J273" s="333" t="str">
        <f t="shared" si="37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6"/>
        <v>0</v>
      </c>
      <c r="J274" s="333" t="str">
        <f t="shared" si="37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38">SUM(C276:C285)</f>
        <v>0</v>
      </c>
      <c r="D275" s="447">
        <f t="shared" si="38"/>
        <v>0</v>
      </c>
      <c r="E275" s="444">
        <f t="shared" si="38"/>
        <v>0</v>
      </c>
      <c r="F275" s="446">
        <f t="shared" si="38"/>
        <v>0</v>
      </c>
      <c r="G275" s="444">
        <f t="shared" si="38"/>
        <v>0</v>
      </c>
      <c r="H275" s="446">
        <f t="shared" si="38"/>
        <v>0</v>
      </c>
      <c r="I275" s="45">
        <f t="shared" si="36"/>
        <v>0</v>
      </c>
      <c r="J275" s="333" t="str">
        <f t="shared" si="37"/>
        <v/>
      </c>
      <c r="K275" s="445">
        <f t="shared" si="38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6"/>
        <v>0</v>
      </c>
      <c r="J276" s="333" t="str">
        <f t="shared" si="37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6"/>
        <v>0</v>
      </c>
      <c r="J277" s="333" t="str">
        <f t="shared" si="37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6"/>
        <v>0</v>
      </c>
      <c r="J278" s="333" t="str">
        <f t="shared" si="37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6"/>
        <v>0</v>
      </c>
      <c r="J279" s="333" t="str">
        <f t="shared" si="37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6"/>
        <v>0</v>
      </c>
      <c r="J280" s="333" t="str">
        <f t="shared" si="37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6"/>
        <v>0</v>
      </c>
      <c r="J281" s="333" t="str">
        <f t="shared" si="37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6"/>
        <v>0</v>
      </c>
      <c r="J282" s="333" t="str">
        <f t="shared" si="37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6"/>
        <v>0</v>
      </c>
      <c r="J283" s="333" t="str">
        <f t="shared" si="37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6"/>
        <v>0</v>
      </c>
      <c r="J284" s="333" t="str">
        <f t="shared" si="37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6"/>
        <v>0</v>
      </c>
      <c r="J285" s="333" t="str">
        <f t="shared" si="37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39">SUM(C287:C296)</f>
        <v>0</v>
      </c>
      <c r="D286" s="447">
        <f t="shared" si="39"/>
        <v>0</v>
      </c>
      <c r="E286" s="444">
        <f t="shared" si="39"/>
        <v>0</v>
      </c>
      <c r="F286" s="446">
        <f t="shared" si="39"/>
        <v>0</v>
      </c>
      <c r="G286" s="444">
        <f t="shared" si="39"/>
        <v>0</v>
      </c>
      <c r="H286" s="446">
        <f t="shared" si="39"/>
        <v>0</v>
      </c>
      <c r="I286" s="45">
        <f t="shared" si="36"/>
        <v>0</v>
      </c>
      <c r="J286" s="333" t="str">
        <f t="shared" si="37"/>
        <v/>
      </c>
      <c r="K286" s="445">
        <f t="shared" si="39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6"/>
        <v>0</v>
      </c>
      <c r="J287" s="333" t="str">
        <f t="shared" si="37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6"/>
        <v>0</v>
      </c>
      <c r="J288" s="333" t="str">
        <f t="shared" si="37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6"/>
        <v>0</v>
      </c>
      <c r="J289" s="333" t="str">
        <f t="shared" si="37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6"/>
        <v>0</v>
      </c>
      <c r="J290" s="333" t="str">
        <f t="shared" si="37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6"/>
        <v>0</v>
      </c>
      <c r="J291" s="333" t="str">
        <f t="shared" si="37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6"/>
        <v>0</v>
      </c>
      <c r="J292" s="333" t="str">
        <f t="shared" si="37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6"/>
        <v>0</v>
      </c>
      <c r="J293" s="333" t="str">
        <f t="shared" si="37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6"/>
        <v>0</v>
      </c>
      <c r="J294" s="333" t="str">
        <f t="shared" si="37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6"/>
        <v>0</v>
      </c>
      <c r="J295" s="333" t="str">
        <f t="shared" si="37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6"/>
        <v>0</v>
      </c>
      <c r="J296" s="333" t="str">
        <f t="shared" si="37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0">SUM(C298:C307)</f>
        <v>0</v>
      </c>
      <c r="D297" s="447">
        <f t="shared" si="40"/>
        <v>0</v>
      </c>
      <c r="E297" s="444">
        <f t="shared" si="40"/>
        <v>0</v>
      </c>
      <c r="F297" s="446">
        <f t="shared" si="40"/>
        <v>0</v>
      </c>
      <c r="G297" s="444">
        <f t="shared" si="40"/>
        <v>0</v>
      </c>
      <c r="H297" s="446">
        <f t="shared" si="40"/>
        <v>0</v>
      </c>
      <c r="I297" s="45">
        <f t="shared" si="36"/>
        <v>0</v>
      </c>
      <c r="J297" s="333" t="str">
        <f t="shared" si="37"/>
        <v/>
      </c>
      <c r="K297" s="445">
        <f t="shared" si="40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6"/>
        <v>0</v>
      </c>
      <c r="J298" s="333" t="str">
        <f t="shared" si="37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6"/>
        <v>0</v>
      </c>
      <c r="J299" s="333" t="str">
        <f t="shared" si="37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6"/>
        <v>0</v>
      </c>
      <c r="J300" s="333" t="str">
        <f t="shared" si="37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6"/>
        <v>0</v>
      </c>
      <c r="J301" s="333" t="str">
        <f t="shared" si="37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6"/>
        <v>0</v>
      </c>
      <c r="J302" s="333" t="str">
        <f t="shared" si="37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6"/>
        <v>0</v>
      </c>
      <c r="J303" s="333" t="str">
        <f t="shared" si="37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6"/>
        <v>0</v>
      </c>
      <c r="J304" s="333" t="str">
        <f t="shared" si="37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6"/>
        <v>0</v>
      </c>
      <c r="J305" s="333" t="str">
        <f t="shared" si="37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6"/>
        <v>0</v>
      </c>
      <c r="J306" s="333" t="str">
        <f t="shared" si="37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6"/>
        <v>0</v>
      </c>
      <c r="J307" s="333" t="str">
        <f t="shared" si="37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1">SUM(C309:C318)</f>
        <v>0</v>
      </c>
      <c r="D308" s="447">
        <f t="shared" si="41"/>
        <v>0</v>
      </c>
      <c r="E308" s="444">
        <f t="shared" si="41"/>
        <v>0</v>
      </c>
      <c r="F308" s="446">
        <f t="shared" si="41"/>
        <v>0</v>
      </c>
      <c r="G308" s="444">
        <f t="shared" si="41"/>
        <v>0</v>
      </c>
      <c r="H308" s="446">
        <f t="shared" si="41"/>
        <v>0</v>
      </c>
      <c r="I308" s="45">
        <f t="shared" si="36"/>
        <v>0</v>
      </c>
      <c r="J308" s="333" t="str">
        <f t="shared" si="37"/>
        <v/>
      </c>
      <c r="K308" s="445">
        <f t="shared" si="41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6"/>
        <v>0</v>
      </c>
      <c r="J309" s="333" t="str">
        <f t="shared" si="37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6"/>
        <v>0</v>
      </c>
      <c r="J310" s="333" t="str">
        <f t="shared" si="37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6"/>
        <v>0</v>
      </c>
      <c r="J311" s="333" t="str">
        <f t="shared" si="37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6"/>
        <v>0</v>
      </c>
      <c r="J312" s="333" t="str">
        <f t="shared" si="37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6"/>
        <v>0</v>
      </c>
      <c r="J313" s="333" t="str">
        <f t="shared" si="37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6"/>
        <v>0</v>
      </c>
      <c r="J314" s="333" t="str">
        <f t="shared" si="37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6"/>
        <v>0</v>
      </c>
      <c r="J315" s="333" t="str">
        <f t="shared" si="37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6"/>
        <v>0</v>
      </c>
      <c r="J316" s="333" t="str">
        <f t="shared" si="37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6"/>
        <v>0</v>
      </c>
      <c r="J317" s="333" t="str">
        <f t="shared" si="37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6"/>
        <v>0</v>
      </c>
      <c r="J318" s="333" t="str">
        <f t="shared" si="37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2">SUM(C320:C329)</f>
        <v>0</v>
      </c>
      <c r="D319" s="447">
        <f t="shared" si="42"/>
        <v>0</v>
      </c>
      <c r="E319" s="444">
        <f t="shared" si="42"/>
        <v>0</v>
      </c>
      <c r="F319" s="446">
        <f t="shared" si="42"/>
        <v>0</v>
      </c>
      <c r="G319" s="444">
        <f t="shared" si="42"/>
        <v>0</v>
      </c>
      <c r="H319" s="446">
        <f t="shared" si="42"/>
        <v>0</v>
      </c>
      <c r="I319" s="45">
        <f t="shared" si="36"/>
        <v>0</v>
      </c>
      <c r="J319" s="333" t="str">
        <f t="shared" si="37"/>
        <v/>
      </c>
      <c r="K319" s="445">
        <f t="shared" si="42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6"/>
        <v>0</v>
      </c>
      <c r="J320" s="333" t="str">
        <f t="shared" si="37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6"/>
        <v>0</v>
      </c>
      <c r="J321" s="333" t="str">
        <f t="shared" si="37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6"/>
        <v>0</v>
      </c>
      <c r="J322" s="333" t="str">
        <f t="shared" si="37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6"/>
        <v>0</v>
      </c>
      <c r="J323" s="333" t="str">
        <f t="shared" si="37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6"/>
        <v>0</v>
      </c>
      <c r="J324" s="333" t="str">
        <f t="shared" si="37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6"/>
        <v>0</v>
      </c>
      <c r="J325" s="333" t="str">
        <f t="shared" si="37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6"/>
        <v>0</v>
      </c>
      <c r="J326" s="333" t="str">
        <f t="shared" si="37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6"/>
        <v>0</v>
      </c>
      <c r="J327" s="333" t="str">
        <f t="shared" si="37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3">G328-H328</f>
        <v>0</v>
      </c>
      <c r="J328" s="333" t="str">
        <f t="shared" ref="J328:J343" si="44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3"/>
        <v>0</v>
      </c>
      <c r="J329" s="333" t="str">
        <f t="shared" si="44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5">SUM(C331:C340)</f>
        <v>0</v>
      </c>
      <c r="D330" s="447">
        <f t="shared" si="45"/>
        <v>0</v>
      </c>
      <c r="E330" s="444">
        <f t="shared" si="45"/>
        <v>0</v>
      </c>
      <c r="F330" s="446">
        <f t="shared" si="45"/>
        <v>0</v>
      </c>
      <c r="G330" s="444">
        <f t="shared" si="45"/>
        <v>0</v>
      </c>
      <c r="H330" s="446">
        <f t="shared" si="45"/>
        <v>0</v>
      </c>
      <c r="I330" s="45">
        <f t="shared" si="43"/>
        <v>0</v>
      </c>
      <c r="J330" s="333" t="str">
        <f t="shared" si="44"/>
        <v/>
      </c>
      <c r="K330" s="445">
        <f t="shared" si="45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3"/>
        <v>0</v>
      </c>
      <c r="J331" s="333" t="str">
        <f t="shared" si="44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3"/>
        <v>0</v>
      </c>
      <c r="J332" s="333" t="str">
        <f t="shared" si="44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3"/>
        <v>0</v>
      </c>
      <c r="J333" s="333" t="str">
        <f t="shared" si="44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3"/>
        <v>0</v>
      </c>
      <c r="J334" s="333" t="str">
        <f t="shared" si="44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3"/>
        <v>0</v>
      </c>
      <c r="J335" s="333" t="str">
        <f t="shared" si="44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3"/>
        <v>0</v>
      </c>
      <c r="J336" s="333" t="str">
        <f t="shared" si="44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3"/>
        <v>0</v>
      </c>
      <c r="J337" s="333" t="str">
        <f t="shared" si="44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3"/>
        <v>0</v>
      </c>
      <c r="J338" s="333" t="str">
        <f t="shared" si="44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3"/>
        <v>0</v>
      </c>
      <c r="J339" s="333" t="str">
        <f t="shared" si="44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3"/>
        <v>0</v>
      </c>
      <c r="J340" s="333" t="str">
        <f t="shared" si="44"/>
        <v/>
      </c>
      <c r="K340" s="398"/>
      <c r="L340" s="455">
        <f t="shared" ref="L340:W340" si="46">SUM(L175:L251)</f>
        <v>0</v>
      </c>
      <c r="M340" s="456">
        <f t="shared" si="46"/>
        <v>0</v>
      </c>
      <c r="N340" s="456">
        <f t="shared" si="46"/>
        <v>0</v>
      </c>
      <c r="O340" s="456">
        <f t="shared" si="46"/>
        <v>0</v>
      </c>
      <c r="P340" s="456">
        <f t="shared" si="46"/>
        <v>0</v>
      </c>
      <c r="Q340" s="456">
        <f t="shared" si="46"/>
        <v>0</v>
      </c>
      <c r="R340" s="456">
        <f t="shared" si="46"/>
        <v>0</v>
      </c>
      <c r="S340" s="456">
        <f t="shared" si="46"/>
        <v>0</v>
      </c>
      <c r="T340" s="456">
        <f t="shared" si="46"/>
        <v>0</v>
      </c>
      <c r="U340" s="456">
        <f t="shared" si="46"/>
        <v>0</v>
      </c>
      <c r="V340" s="456">
        <f t="shared" si="46"/>
        <v>0</v>
      </c>
      <c r="W340" s="456">
        <f t="shared" si="46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47732912</v>
      </c>
      <c r="D341" s="478">
        <f t="shared" ref="D341:K341" si="47">D176+D187+D198+D209+D220+D231+D242+D253+D264+D286+D297+D308+D319+D330+D275</f>
        <v>105703023.12096</v>
      </c>
      <c r="E341" s="433">
        <f t="shared" si="47"/>
        <v>67693761.120959997</v>
      </c>
      <c r="F341" s="477">
        <f t="shared" si="47"/>
        <v>3701625</v>
      </c>
      <c r="G341" s="433">
        <f t="shared" si="47"/>
        <v>53402980</v>
      </c>
      <c r="H341" s="477">
        <f t="shared" si="47"/>
        <v>70468682.413973331</v>
      </c>
      <c r="I341" s="433">
        <f t="shared" si="43"/>
        <v>-17065702.413973331</v>
      </c>
      <c r="J341" s="433">
        <f t="shared" si="44"/>
        <v>-0.24217427982716688</v>
      </c>
      <c r="K341" s="516">
        <f t="shared" si="47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3"/>
        <v>0</v>
      </c>
      <c r="J342" s="51" t="str">
        <f t="shared" si="44"/>
        <v/>
      </c>
      <c r="K342" s="195"/>
      <c r="L342" s="483">
        <f t="shared" ref="L342:W342" si="48">L171-L340</f>
        <v>0</v>
      </c>
      <c r="M342" s="484">
        <f t="shared" si="48"/>
        <v>0</v>
      </c>
      <c r="N342" s="484">
        <f t="shared" si="48"/>
        <v>0</v>
      </c>
      <c r="O342" s="484">
        <f t="shared" si="48"/>
        <v>0</v>
      </c>
      <c r="P342" s="484">
        <f t="shared" si="48"/>
        <v>0</v>
      </c>
      <c r="Q342" s="484">
        <f t="shared" si="48"/>
        <v>0</v>
      </c>
      <c r="R342" s="484">
        <f t="shared" si="48"/>
        <v>0</v>
      </c>
      <c r="S342" s="484">
        <f t="shared" si="48"/>
        <v>0</v>
      </c>
      <c r="T342" s="484">
        <f t="shared" si="48"/>
        <v>0</v>
      </c>
      <c r="U342" s="484">
        <f t="shared" si="48"/>
        <v>0</v>
      </c>
      <c r="V342" s="484">
        <f t="shared" si="48"/>
        <v>0</v>
      </c>
      <c r="W342" s="484">
        <f t="shared" si="48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47732912</v>
      </c>
      <c r="D343" s="515">
        <f t="shared" ref="D343:K343" si="49">D172+D341</f>
        <v>105703023.12096</v>
      </c>
      <c r="E343" s="56">
        <f t="shared" si="49"/>
        <v>67693761.120959997</v>
      </c>
      <c r="F343" s="482">
        <f t="shared" si="49"/>
        <v>3701625</v>
      </c>
      <c r="G343" s="56">
        <f t="shared" si="49"/>
        <v>53402980</v>
      </c>
      <c r="H343" s="482">
        <f t="shared" si="49"/>
        <v>70468682.413973331</v>
      </c>
      <c r="I343" s="56">
        <f t="shared" si="43"/>
        <v>-17065702.413973331</v>
      </c>
      <c r="J343" s="56">
        <f t="shared" si="44"/>
        <v>-0.24217427982716688</v>
      </c>
      <c r="K343" s="236">
        <f t="shared" si="49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2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3" t="str">
        <f>muni&amp; " - "&amp;S71E&amp; " - "&amp;date</f>
        <v>NW385 Ramotshere Moiloa - Table C6 Monthly Budget Statement - Financial Position - M11 May</v>
      </c>
      <c r="B1" s="1003"/>
      <c r="C1" s="1003"/>
      <c r="D1" s="1003"/>
      <c r="E1" s="1003"/>
      <c r="F1" s="1003"/>
      <c r="G1" s="1003"/>
    </row>
    <row r="2" spans="1:8" x14ac:dyDescent="0.25">
      <c r="A2" s="988" t="str">
        <f>desc</f>
        <v>Description</v>
      </c>
      <c r="B2" s="981" t="str">
        <f>head27</f>
        <v>Ref</v>
      </c>
      <c r="C2" s="141" t="str">
        <f>Head1</f>
        <v>2014/15</v>
      </c>
      <c r="D2" s="246" t="str">
        <f>Head2</f>
        <v>Budget Year 2015/16</v>
      </c>
      <c r="E2" s="230"/>
      <c r="F2" s="230"/>
      <c r="G2" s="231"/>
    </row>
    <row r="3" spans="1:8" ht="25.5" x14ac:dyDescent="0.25">
      <c r="A3" s="989"/>
      <c r="B3" s="992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>
        <v>42448062.964399971</v>
      </c>
      <c r="F7" s="747">
        <v>5692197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>
        <v>27425964.585000001</v>
      </c>
      <c r="F8" s="747">
        <v>14046568</v>
      </c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>
        <v>54451337.5</v>
      </c>
      <c r="F9" s="747">
        <v>122996011</v>
      </c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>
        <v>4132598.3909999998</v>
      </c>
      <c r="F10" s="747">
        <v>1496138</v>
      </c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>
        <v>34424316.194699995</v>
      </c>
      <c r="F11" s="747"/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>
        <v>39660624.369149998</v>
      </c>
      <c r="F12" s="747">
        <v>45354945</v>
      </c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202542904.00424999</v>
      </c>
      <c r="F13" s="74">
        <f>SUM(F7:F12)</f>
        <v>189585859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>
        <v>0</v>
      </c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>
        <v>2065267.9650000001</v>
      </c>
      <c r="F17" s="747">
        <v>1025935</v>
      </c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>
        <v>8747520</v>
      </c>
      <c r="F18" s="747">
        <v>19895357</v>
      </c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>
        <v>0</v>
      </c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>
        <v>529380062.24391478</v>
      </c>
      <c r="F20" s="747">
        <v>596867932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>
        <v>0</v>
      </c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>
        <v>0</v>
      </c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>
        <v>804001.005</v>
      </c>
      <c r="F23" s="747">
        <v>573765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>
        <v>0</v>
      </c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540996851.21391475</v>
      </c>
      <c r="F25" s="74">
        <f>SUM(F16:F24)</f>
        <v>618362989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743539755.21816468</v>
      </c>
      <c r="F26" s="74">
        <f>F13+F25</f>
        <v>807948848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>
        <v>0</v>
      </c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>
        <v>1821191.6248500003</v>
      </c>
      <c r="F31" s="747">
        <v>551925</v>
      </c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>
        <v>15021794.043749999</v>
      </c>
      <c r="F32" s="747">
        <v>2089123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>
        <v>32032946.503050003</v>
      </c>
      <c r="F33" s="747">
        <v>95391306</v>
      </c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>
        <v>62147652.802500002</v>
      </c>
      <c r="F34" s="747">
        <v>107262264</v>
      </c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111023584.97415</v>
      </c>
      <c r="F35" s="74">
        <f>SUM(F30:F34)</f>
        <v>205294618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>
        <v>6316589.8200000003</v>
      </c>
      <c r="F38" s="747">
        <v>5557946</v>
      </c>
      <c r="G38" s="749"/>
    </row>
    <row r="39" spans="1:7" ht="12.75" customHeight="1" x14ac:dyDescent="0.25">
      <c r="A39" s="40" t="s">
        <v>684</v>
      </c>
      <c r="B39" s="170"/>
      <c r="C39" s="762">
        <v>51735000</v>
      </c>
      <c r="D39" s="767">
        <v>42673400.000000007</v>
      </c>
      <c r="E39" s="747">
        <v>42886767.000000007</v>
      </c>
      <c r="F39" s="747">
        <v>47147000</v>
      </c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49203356.820000008</v>
      </c>
      <c r="F40" s="74">
        <f>SUM(F38:F39)</f>
        <v>52704946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160226941.79414999</v>
      </c>
      <c r="F41" s="74">
        <f>F35+F40</f>
        <v>257999564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583312813.42401469</v>
      </c>
      <c r="F43" s="77">
        <f>F26-F41</f>
        <v>549949284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>
        <v>465699529.26244992</v>
      </c>
      <c r="F46" s="747">
        <v>486672938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>
        <v>571931067.49901474</v>
      </c>
      <c r="F47" s="747">
        <v>63276346</v>
      </c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1037630596.7614646</v>
      </c>
      <c r="F48" s="56">
        <f>SUM(F46:F47)</f>
        <v>549949284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1002" t="s">
        <v>179</v>
      </c>
      <c r="B50" s="1002"/>
      <c r="C50" s="1002"/>
      <c r="D50" s="1002"/>
      <c r="E50" s="1002"/>
      <c r="F50" s="1002"/>
      <c r="G50" s="1002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-454317783.33744991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"&amp;S71F&amp; " - "&amp;date</f>
        <v>NW385 Ramotshere Moiloa - Table C7 Monthly Budget Statement - Cash Flow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>
        <v>19436203</v>
      </c>
      <c r="D7" s="759">
        <v>30836372.271249965</v>
      </c>
      <c r="E7" s="747">
        <v>24564042</v>
      </c>
      <c r="F7" s="747">
        <v>3788710.1049818518</v>
      </c>
      <c r="G7" s="747">
        <f>16133448+F7</f>
        <v>19922158.104981851</v>
      </c>
      <c r="H7" s="759">
        <f t="shared" ref="H7:H12" si="0">(D7/2)</f>
        <v>15418186.135624982</v>
      </c>
      <c r="I7" s="45">
        <f t="shared" ref="I7:I13" si="1">G7-H7</f>
        <v>4503971.9693568684</v>
      </c>
      <c r="J7" s="333">
        <f>IF(I7=0,"",I7/H7)</f>
        <v>0.29212074168374919</v>
      </c>
      <c r="K7" s="749"/>
    </row>
    <row r="8" spans="1:11" ht="12.75" customHeight="1" x14ac:dyDescent="0.25">
      <c r="A8" s="521" t="s">
        <v>1130</v>
      </c>
      <c r="B8" s="170"/>
      <c r="C8" s="762">
        <v>60789864</v>
      </c>
      <c r="D8" s="759">
        <v>62447438.75</v>
      </c>
      <c r="E8" s="747">
        <v>54336632</v>
      </c>
      <c r="F8" s="747">
        <v>4560189</v>
      </c>
      <c r="G8" s="747">
        <f>34010347+F8</f>
        <v>38570536</v>
      </c>
      <c r="H8" s="759">
        <f t="shared" si="0"/>
        <v>31223719.375</v>
      </c>
      <c r="I8" s="45">
        <f t="shared" si="1"/>
        <v>7346816.625</v>
      </c>
      <c r="J8" s="333">
        <f>IF(I8=0,"",I8/H8)</f>
        <v>0.23529601123953223</v>
      </c>
      <c r="K8" s="749"/>
    </row>
    <row r="9" spans="1:11" ht="12.75" customHeight="1" x14ac:dyDescent="0.25">
      <c r="A9" s="521" t="s">
        <v>561</v>
      </c>
      <c r="B9" s="170"/>
      <c r="C9" s="762">
        <v>14377305</v>
      </c>
      <c r="D9" s="759">
        <v>11018893.449643519</v>
      </c>
      <c r="E9" s="747">
        <v>7580000</v>
      </c>
      <c r="F9" s="747">
        <v>14408198</v>
      </c>
      <c r="G9" s="747">
        <f>90975380.87+F9</f>
        <v>105383578.87</v>
      </c>
      <c r="H9" s="759">
        <f t="shared" si="0"/>
        <v>5509446.7248217594</v>
      </c>
      <c r="I9" s="45">
        <f t="shared" si="1"/>
        <v>99874132.145178244</v>
      </c>
      <c r="J9" s="333">
        <f>IF(I9=0,"",I9/H9)</f>
        <v>18.127797060858111</v>
      </c>
      <c r="K9" s="749"/>
    </row>
    <row r="10" spans="1:11" ht="12.75" customHeight="1" x14ac:dyDescent="0.25">
      <c r="A10" s="87" t="s">
        <v>843</v>
      </c>
      <c r="B10" s="172"/>
      <c r="C10" s="762">
        <f>102166000+934000+718889+1600000+2050068+1464000+1547230</f>
        <v>110480187</v>
      </c>
      <c r="D10" s="759">
        <v>145031000</v>
      </c>
      <c r="E10" s="747">
        <v>142831000</v>
      </c>
      <c r="F10" s="747"/>
      <c r="G10" s="747">
        <f>91895718+F10</f>
        <v>91895718</v>
      </c>
      <c r="H10" s="759">
        <f t="shared" si="0"/>
        <v>72515500</v>
      </c>
      <c r="I10" s="45">
        <f t="shared" si="1"/>
        <v>19380218</v>
      </c>
      <c r="J10" s="333">
        <f>IF(I10=0,"",I10/H10)</f>
        <v>0.26725621418869067</v>
      </c>
      <c r="K10" s="749"/>
    </row>
    <row r="11" spans="1:11" ht="12.75" customHeight="1" x14ac:dyDescent="0.25">
      <c r="A11" s="87" t="s">
        <v>844</v>
      </c>
      <c r="B11" s="172"/>
      <c r="C11" s="762">
        <f>45818272+3575780+3993040+18805728+1506960+5000000-954000+239000</f>
        <v>77984780</v>
      </c>
      <c r="D11" s="759">
        <v>80087000</v>
      </c>
      <c r="E11" s="747">
        <v>67694000</v>
      </c>
      <c r="F11" s="747"/>
      <c r="G11" s="747">
        <v>43182000</v>
      </c>
      <c r="H11" s="759">
        <f t="shared" si="0"/>
        <v>40043500</v>
      </c>
      <c r="I11" s="45">
        <f t="shared" si="1"/>
        <v>3138500</v>
      </c>
      <c r="J11" s="333">
        <f t="shared" ref="J11:J18" si="2">IF(I11=0,"",I11/H11)</f>
        <v>7.8377264724611984E-2</v>
      </c>
      <c r="K11" s="749"/>
    </row>
    <row r="12" spans="1:11" ht="12.75" customHeight="1" x14ac:dyDescent="0.25">
      <c r="A12" s="87" t="s">
        <v>1047</v>
      </c>
      <c r="B12" s="172"/>
      <c r="C12" s="762">
        <v>741056</v>
      </c>
      <c r="D12" s="759">
        <v>3744271</v>
      </c>
      <c r="E12" s="747">
        <v>984000</v>
      </c>
      <c r="F12" s="747">
        <v>8000</v>
      </c>
      <c r="G12" s="747">
        <v>653491.1</v>
      </c>
      <c r="H12" s="759">
        <f t="shared" si="0"/>
        <v>1872135.5</v>
      </c>
      <c r="I12" s="45">
        <f t="shared" si="1"/>
        <v>-1218644.3999999999</v>
      </c>
      <c r="J12" s="333">
        <f t="shared" si="2"/>
        <v>-0.65093813989425442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>(D13/3)</f>
        <v>0</v>
      </c>
      <c r="I13" s="45">
        <f t="shared" si="1"/>
        <v>0</v>
      </c>
      <c r="J13" s="333" t="str">
        <f t="shared" si="2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>
        <v>-222565653</v>
      </c>
      <c r="D15" s="759">
        <v>-228162454.83395123</v>
      </c>
      <c r="E15" s="747">
        <v>-272350249</v>
      </c>
      <c r="F15" s="747">
        <v>-27974410</v>
      </c>
      <c r="G15" s="747">
        <f>-217693024.322004+F15</f>
        <v>-245667434.32200399</v>
      </c>
      <c r="H15" s="759">
        <v>-114081227.41697562</v>
      </c>
      <c r="I15" s="45">
        <f>H15-G15</f>
        <v>131586206.90502837</v>
      </c>
      <c r="J15" s="333">
        <f t="shared" si="2"/>
        <v>-1.1534431201732316</v>
      </c>
      <c r="K15" s="749"/>
    </row>
    <row r="16" spans="1:11" ht="12.75" customHeight="1" x14ac:dyDescent="0.25">
      <c r="A16" s="87" t="s">
        <v>560</v>
      </c>
      <c r="B16" s="172"/>
      <c r="C16" s="762">
        <v>-2014375</v>
      </c>
      <c r="D16" s="759">
        <v>-1284984.6954000003</v>
      </c>
      <c r="E16" s="747">
        <v>-1284984.6954000003</v>
      </c>
      <c r="F16" s="747"/>
      <c r="G16" s="747">
        <v>0</v>
      </c>
      <c r="H16" s="759">
        <v>-642492.34770000016</v>
      </c>
      <c r="I16" s="45">
        <f>H16-G16</f>
        <v>-642492.34770000016</v>
      </c>
      <c r="J16" s="333">
        <f t="shared" si="2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>
        <v>-9655000</v>
      </c>
      <c r="F17" s="747"/>
      <c r="G17" s="747">
        <v>-1432530</v>
      </c>
      <c r="H17" s="759">
        <v>-642492.34770000016</v>
      </c>
      <c r="I17" s="45">
        <f>H17-G17</f>
        <v>790037.65229999984</v>
      </c>
      <c r="J17" s="333">
        <f t="shared" si="2"/>
        <v>-1.2296452325513039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3">SUM(C7:C13)+SUM(C15:C17)</f>
        <v>59229367</v>
      </c>
      <c r="D18" s="75">
        <f t="shared" si="3"/>
        <v>94062535.941542268</v>
      </c>
      <c r="E18" s="74">
        <f t="shared" si="3"/>
        <v>14699440.3046</v>
      </c>
      <c r="F18" s="74">
        <f t="shared" si="3"/>
        <v>-5209312.8950181492</v>
      </c>
      <c r="G18" s="74">
        <f t="shared" si="3"/>
        <v>52507517.752977878</v>
      </c>
      <c r="H18" s="74">
        <f t="shared" si="3"/>
        <v>51216275.623071134</v>
      </c>
      <c r="I18" s="74">
        <f>H18-G18</f>
        <v>-1291242.1299067438</v>
      </c>
      <c r="J18" s="334">
        <f t="shared" si="2"/>
        <v>-2.5211558517251584E-2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4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v>23285111.200000003</v>
      </c>
      <c r="I23" s="45">
        <f>G23-H23</f>
        <v>-23285111.200000003</v>
      </c>
      <c r="J23" s="333">
        <f t="shared" si="4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4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4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>
        <f>-39191347+-436750</f>
        <v>-39628097</v>
      </c>
      <c r="D27" s="759">
        <v>-105703023.12096</v>
      </c>
      <c r="E27" s="747">
        <v>-67694000</v>
      </c>
      <c r="F27" s="747">
        <v>-4086955.53</v>
      </c>
      <c r="G27" s="747">
        <f>-30019294-11675308+F27</f>
        <v>-45781557.530000001</v>
      </c>
      <c r="H27" s="759">
        <v>-52851511.560479999</v>
      </c>
      <c r="I27" s="45">
        <f>H27-G27</f>
        <v>-7069954.0304799974</v>
      </c>
      <c r="J27" s="333">
        <f t="shared" si="4"/>
        <v>0.13377013867218498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5">SUM(C22:C25)+C27</f>
        <v>-39628097</v>
      </c>
      <c r="D28" s="75">
        <f>SUM(D22:D25)+D27</f>
        <v>-59132800.720959991</v>
      </c>
      <c r="E28" s="74">
        <f t="shared" si="5"/>
        <v>-67694000</v>
      </c>
      <c r="F28" s="74">
        <f t="shared" si="5"/>
        <v>-4086955.53</v>
      </c>
      <c r="G28" s="74">
        <f t="shared" si="5"/>
        <v>-45781557.530000001</v>
      </c>
      <c r="H28" s="74">
        <f t="shared" si="5"/>
        <v>-29566400.360479996</v>
      </c>
      <c r="I28" s="74">
        <f>H28-G28</f>
        <v>16215157.169520006</v>
      </c>
      <c r="J28" s="334">
        <f t="shared" si="4"/>
        <v>-0.54843190147671939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6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6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>
        <v>400000</v>
      </c>
      <c r="F34" s="747"/>
      <c r="G34" s="747"/>
      <c r="H34" s="747"/>
      <c r="I34" s="45">
        <f>G34-H34</f>
        <v>0</v>
      </c>
      <c r="J34" s="333" t="str">
        <f t="shared" si="6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6"/>
        <v/>
      </c>
      <c r="K35" s="145"/>
    </row>
    <row r="36" spans="1:11" ht="12.75" customHeight="1" x14ac:dyDescent="0.25">
      <c r="A36" s="40" t="s">
        <v>1064</v>
      </c>
      <c r="B36" s="170"/>
      <c r="C36" s="762">
        <f>-4509474+-776521</f>
        <v>-5285995</v>
      </c>
      <c r="D36" s="759">
        <v>-2200000</v>
      </c>
      <c r="E36" s="747"/>
      <c r="F36" s="747"/>
      <c r="G36" s="747"/>
      <c r="H36" s="759">
        <v>-1100000</v>
      </c>
      <c r="I36" s="45">
        <f>H36-G36</f>
        <v>-1100000</v>
      </c>
      <c r="J36" s="333">
        <f t="shared" si="6"/>
        <v>1</v>
      </c>
      <c r="K36" s="749">
        <f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7">SUM(C32:C34)+C36</f>
        <v>-5285995</v>
      </c>
      <c r="D37" s="75">
        <f t="shared" si="7"/>
        <v>-2200000</v>
      </c>
      <c r="E37" s="74">
        <f t="shared" si="7"/>
        <v>400000</v>
      </c>
      <c r="F37" s="74">
        <f t="shared" si="7"/>
        <v>0</v>
      </c>
      <c r="G37" s="74">
        <f t="shared" si="7"/>
        <v>0</v>
      </c>
      <c r="H37" s="74">
        <f t="shared" si="7"/>
        <v>-1100000</v>
      </c>
      <c r="I37" s="74">
        <f>H37-G37</f>
        <v>-1100000</v>
      </c>
      <c r="J37" s="334">
        <f t="shared" si="6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8">C18+C28+C37</f>
        <v>14315275</v>
      </c>
      <c r="D39" s="52">
        <f t="shared" si="8"/>
        <v>32729735.220582277</v>
      </c>
      <c r="E39" s="51">
        <f t="shared" si="8"/>
        <v>-52594559.6954</v>
      </c>
      <c r="F39" s="51">
        <f t="shared" si="8"/>
        <v>-9296268.4250181485</v>
      </c>
      <c r="G39" s="51">
        <f t="shared" si="8"/>
        <v>6725960.2229778767</v>
      </c>
      <c r="H39" s="51">
        <f t="shared" si="8"/>
        <v>20549875.262591138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>
        <v>3830869</v>
      </c>
      <c r="D40" s="759">
        <v>18146493</v>
      </c>
      <c r="E40" s="747">
        <v>36657793.097995803</v>
      </c>
      <c r="F40" s="274"/>
      <c r="G40" s="747"/>
      <c r="H40" s="45">
        <f>IF(E40=0, D40, E40)</f>
        <v>36657793.097995803</v>
      </c>
      <c r="I40" s="274"/>
      <c r="J40" s="274"/>
      <c r="K40" s="388">
        <f>G40</f>
        <v>0</v>
      </c>
    </row>
    <row r="41" spans="1:11" ht="12.75" customHeight="1" x14ac:dyDescent="0.25">
      <c r="A41" s="130" t="s">
        <v>58</v>
      </c>
      <c r="B41" s="120"/>
      <c r="C41" s="226">
        <f>C39+C40</f>
        <v>18146144</v>
      </c>
      <c r="D41" s="117">
        <f>D39+D40</f>
        <v>50876228.220582277</v>
      </c>
      <c r="E41" s="116">
        <f>E39+E40</f>
        <v>-15936766.597404197</v>
      </c>
      <c r="F41" s="275"/>
      <c r="G41" s="116">
        <f>G39+G40</f>
        <v>6725960.2229778767</v>
      </c>
      <c r="H41" s="116">
        <f>H39+H40</f>
        <v>57207668.360586941</v>
      </c>
      <c r="I41" s="275"/>
      <c r="J41" s="275"/>
      <c r="K41" s="191">
        <f>K39+K40</f>
        <v>0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9" t="str">
        <f>muni&amp; " - "&amp;S71G&amp; " - "&amp;date</f>
        <v>NW385 Ramotshere Moiloa - Supporting Table SC1 Material variance explanations  - M11 May</v>
      </c>
      <c r="B1" s="999"/>
      <c r="C1" s="999"/>
      <c r="D1" s="999"/>
      <c r="E1" s="999"/>
    </row>
    <row r="2" spans="1:5" x14ac:dyDescent="0.25">
      <c r="A2" s="981" t="str">
        <f>head27</f>
        <v>Ref</v>
      </c>
      <c r="B2" s="988" t="str">
        <f>desc</f>
        <v>Description</v>
      </c>
      <c r="C2" s="270"/>
      <c r="D2" s="270"/>
      <c r="E2" s="276"/>
    </row>
    <row r="3" spans="1:5" x14ac:dyDescent="0.25">
      <c r="A3" s="992"/>
      <c r="B3" s="989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-3826505.0166665986</v>
      </c>
      <c r="D6" s="772" t="s">
        <v>1363</v>
      </c>
      <c r="E6" s="772" t="s">
        <v>1368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-14959010.2498715</v>
      </c>
      <c r="D11" s="772" t="s">
        <v>1362</v>
      </c>
      <c r="E11" s="772" t="s">
        <v>1367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1367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1365</v>
      </c>
      <c r="C21" s="762"/>
      <c r="D21" s="772" t="s">
        <v>1366</v>
      </c>
      <c r="E21" s="772" t="s">
        <v>1369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/>
      <c r="D26" s="772" t="s">
        <v>1371</v>
      </c>
      <c r="E26" s="772" t="s">
        <v>1370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Normal="100" zoomScaleSheetLayoutView="100" workbookViewId="0">
      <pane xSplit="3" ySplit="4" topLeftCell="D20" activePane="bottomRight" state="frozen"/>
      <selection pane="topRight"/>
      <selection pane="bottomLeft"/>
      <selection pane="bottomRight" activeCell="A2" sqref="A2:A3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9" t="str">
        <f>muni&amp; " - "&amp;S71H&amp; " - "&amp;Head57</f>
        <v>NW385 Ramotshere Moiloa - Supporting Table SC2 Monthly Budget Statement - performance indicators   - M11 May</v>
      </c>
      <c r="B1" s="999"/>
      <c r="C1" s="999"/>
      <c r="D1" s="999"/>
      <c r="E1" s="999"/>
      <c r="F1" s="999"/>
      <c r="G1" s="999"/>
      <c r="H1" s="999"/>
    </row>
    <row r="2" spans="1:11" ht="12.75" x14ac:dyDescent="0.25">
      <c r="A2" s="1004" t="s">
        <v>695</v>
      </c>
      <c r="B2" s="988" t="s">
        <v>924</v>
      </c>
      <c r="C2" s="981" t="str">
        <f>head27</f>
        <v>Ref</v>
      </c>
      <c r="D2" s="139" t="str">
        <f>Head1</f>
        <v>2014/15</v>
      </c>
      <c r="E2" s="246" t="str">
        <f>Head2</f>
        <v>Budget Year 2015/16</v>
      </c>
      <c r="F2" s="230"/>
      <c r="G2" s="230"/>
      <c r="H2" s="231"/>
    </row>
    <row r="3" spans="1:11" ht="25.5" x14ac:dyDescent="0.25">
      <c r="A3" s="1005"/>
      <c r="B3" s="989"/>
      <c r="C3" s="992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-1.1484407577616856E-2</v>
      </c>
      <c r="E7" s="283">
        <f>IF(ISERROR((E42+E44)/E45),0,((E42+E44)/E45))</f>
        <v>2.8400856212327651E-2</v>
      </c>
      <c r="F7" s="125">
        <f>IF(ISERROR((F42+F44)/F45),0,((F42+F44)/F45))</f>
        <v>9.1855530239591546E-2</v>
      </c>
      <c r="G7" s="125">
        <f>IF(ISERROR((G42+G44)/G45),0,((G42+G44)/G45))</f>
        <v>5.5643178255105775E-3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3.8713900759361125E-2</v>
      </c>
      <c r="G10" s="125">
        <f>IF(ISERROR(G48/G49),0,(G48/G49))</f>
        <v>0.18456461341624367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1.1044320161906368E-2</v>
      </c>
      <c r="G11" s="125">
        <f>IF(ISERROR(G51/G50),0,(G51/G50))</f>
        <v>8.783607700735438E-2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1.8243232197141601</v>
      </c>
      <c r="G13" s="125">
        <f>IF(ISERROR(G52/G53),0,(G52/G53))</f>
        <v>0.92348187617855626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0.62936201858072749</v>
      </c>
      <c r="G14" s="125">
        <f>IF(ISERROR(G54/G53),0,(G54/G53))</f>
        <v>9.6148477696575557E-2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0.32042813589618557</v>
      </c>
      <c r="G17" s="125">
        <f>IF(ISERROR(G59/G55),0,(G59/G55))</f>
        <v>0.5479622021761118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0.34094793659167083</v>
      </c>
      <c r="G26" s="125">
        <f>IF(ISERROR(G40/G55),0,(G40/G55))</f>
        <v>0.40427560872074314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8.9649204460842957E-2</v>
      </c>
      <c r="G28" s="125">
        <f>IF(ISERROR((G42+G44)/G55),0,((G42+G44)/G55))</f>
        <v>4.4800042316300928E-3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6316589.8200000003</v>
      </c>
      <c r="G38" s="98">
        <f>'C6-FinPos'!F38</f>
        <v>5557946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743539755.21816468</v>
      </c>
      <c r="G39" s="98">
        <f>'C6-FinPos'!F26</f>
        <v>807948848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98964379.472879097</v>
      </c>
      <c r="G40" s="98">
        <f>'C4-FinPerf RE'!G26</f>
        <v>91847830.230000004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10284984.6954</v>
      </c>
      <c r="G42" s="98">
        <f>'C4-FinPerf RE'!G30</f>
        <v>1017817.2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5285995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15736812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283290473.93799806</v>
      </c>
      <c r="G45" s="98">
        <f>'C4-FinPerf RE'!G37</f>
        <v>182918595.22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47732912</v>
      </c>
      <c r="E46" s="85">
        <f>'C5-Capex'!D40</f>
        <v>105703023.12096</v>
      </c>
      <c r="F46" s="85">
        <f>'C5-Capex'!E40</f>
        <v>67693761.120959997</v>
      </c>
      <c r="G46" s="98">
        <f>'C5-Capex'!G40</f>
        <v>53402980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40170727.947900005</v>
      </c>
      <c r="G48" s="85">
        <f>'C6-FinPos'!F30+'C6-FinPos'!F31+'C6-FinPos'!F33+'C6-FinPos'!F38</f>
        <v>101501177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1037630596.7614646</v>
      </c>
      <c r="G49" s="98">
        <f>'C6-FinPos'!F48</f>
        <v>549949284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571931067.49901474</v>
      </c>
      <c r="G50" s="98">
        <f>'C6-FinPos'!F47</f>
        <v>63276346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6316589.8200000003</v>
      </c>
      <c r="G51" s="98">
        <f>'C6-FinPos'!F38</f>
        <v>5557946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202542904.00424999</v>
      </c>
      <c r="G52" s="98">
        <f>'C6-FinPos'!F13</f>
        <v>189585859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111023584.97415</v>
      </c>
      <c r="G53" s="98">
        <f>'C6-FinPos'!F35</f>
        <v>205294618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69874027.549399972</v>
      </c>
      <c r="G54" s="98">
        <f>'C6-FinPos'!F7+'C6-FinPos'!F8</f>
        <v>19738765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290262438.48896414</v>
      </c>
      <c r="G55" s="98">
        <f>'C4-FinPerf RE'!G23</f>
        <v>227191124.69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142831000</v>
      </c>
      <c r="G56" s="98">
        <f>'C4-FinPerf RE'!G20</f>
        <v>106853760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60722000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-4544939</v>
      </c>
      <c r="E58" s="85">
        <f>'C7-CFlow'!D12+'C7-CFlow'!D36</f>
        <v>1544271</v>
      </c>
      <c r="F58" s="85">
        <f>'C7-CFlow'!E12+'C7-CFlow'!E36</f>
        <v>984000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93008252.085700005</v>
      </c>
      <c r="G59" s="98">
        <f>'C6-FinPos'!F9+'C6-FinPos'!F10+'C6-FinPos'!F11+'C6-FinPos'!F16</f>
        <v>124492149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84790886</v>
      </c>
      <c r="G60" s="98">
        <f>SUM('C4-FinPerf RE'!G8:G12)</f>
        <v>58470557.300000004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71939295.514399976</v>
      </c>
      <c r="G61" s="98">
        <f>'C6-FinPos'!F7+'C6-FinPos'!F8+'C6-FinPos'!F17-'C6-FinPos'!F30</f>
        <v>20764700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4" activePane="bottomRight" state="frozen"/>
      <selection pane="topRight"/>
      <selection pane="bottomLeft"/>
      <selection pane="bottomRight" activeCell="I18" sqref="I18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9" t="str">
        <f>muni&amp; " - "&amp;S71I&amp; " - "&amp;Head57</f>
        <v>NW385 Ramotshere Moiloa - Supporting Table SC3 Monthly Budget Statement - aged debtors - M11 May</v>
      </c>
      <c r="B1" s="999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7" t="str">
        <f>Head2</f>
        <v>Budget Year 2015/16</v>
      </c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9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>
        <v>1430148</v>
      </c>
      <c r="D5" s="747">
        <v>436944</v>
      </c>
      <c r="E5" s="747">
        <v>455078</v>
      </c>
      <c r="F5" s="747">
        <v>445517</v>
      </c>
      <c r="G5" s="747">
        <v>232604</v>
      </c>
      <c r="H5" s="747">
        <v>15187283</v>
      </c>
      <c r="I5" s="747"/>
      <c r="J5" s="758"/>
      <c r="K5" s="135">
        <f>SUM(C5:J5)</f>
        <v>18187574</v>
      </c>
      <c r="L5" s="135">
        <f>SUM(F5:J5)</f>
        <v>15865404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>
        <v>4626949</v>
      </c>
      <c r="D6" s="747">
        <v>1413641</v>
      </c>
      <c r="E6" s="747">
        <v>1472312</v>
      </c>
      <c r="F6" s="747">
        <v>1441378</v>
      </c>
      <c r="G6" s="747">
        <v>752541</v>
      </c>
      <c r="H6" s="747">
        <v>49135328</v>
      </c>
      <c r="I6" s="747"/>
      <c r="J6" s="758"/>
      <c r="K6" s="135">
        <f>SUM(C6:J6)</f>
        <v>58842149</v>
      </c>
      <c r="L6" s="135">
        <f t="shared" ref="L6:L12" si="0">SUM(F6:J6)</f>
        <v>51329247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>
        <v>1766653</v>
      </c>
      <c r="D7" s="747">
        <v>539754</v>
      </c>
      <c r="E7" s="747">
        <v>562156</v>
      </c>
      <c r="F7" s="747">
        <v>550344</v>
      </c>
      <c r="G7" s="747">
        <v>287334</v>
      </c>
      <c r="H7" s="747">
        <v>18760762</v>
      </c>
      <c r="I7" s="747"/>
      <c r="J7" s="758"/>
      <c r="K7" s="135">
        <f t="shared" ref="K7:K13" si="1">SUM(C7:J7)</f>
        <v>22467003</v>
      </c>
      <c r="L7" s="135">
        <f t="shared" si="0"/>
        <v>19598440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>
        <v>252379</v>
      </c>
      <c r="D8" s="747">
        <v>77108</v>
      </c>
      <c r="E8" s="747">
        <v>80308</v>
      </c>
      <c r="F8" s="747">
        <v>78621</v>
      </c>
      <c r="G8" s="747">
        <v>41048</v>
      </c>
      <c r="H8" s="747">
        <v>2680109</v>
      </c>
      <c r="I8" s="747"/>
      <c r="J8" s="758"/>
      <c r="K8" s="135">
        <f t="shared" si="1"/>
        <v>3209573</v>
      </c>
      <c r="L8" s="135">
        <f t="shared" si="0"/>
        <v>2799778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>
        <v>336505</v>
      </c>
      <c r="D9" s="747">
        <v>102810</v>
      </c>
      <c r="E9" s="747">
        <v>107077</v>
      </c>
      <c r="F9" s="747">
        <v>104828</v>
      </c>
      <c r="G9" s="747">
        <v>54730</v>
      </c>
      <c r="H9" s="747">
        <v>3573478</v>
      </c>
      <c r="I9" s="747"/>
      <c r="J9" s="758"/>
      <c r="K9" s="135">
        <f t="shared" si="1"/>
        <v>4279428</v>
      </c>
      <c r="L9" s="135">
        <f>SUM(F9:J9)</f>
        <v>3733036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8412634</v>
      </c>
      <c r="D14" s="56">
        <f t="shared" si="2"/>
        <v>2570257</v>
      </c>
      <c r="E14" s="56">
        <f t="shared" si="2"/>
        <v>2676931</v>
      </c>
      <c r="F14" s="56">
        <f t="shared" si="2"/>
        <v>2620688</v>
      </c>
      <c r="G14" s="56">
        <f t="shared" si="2"/>
        <v>1368257</v>
      </c>
      <c r="H14" s="56">
        <f t="shared" si="2"/>
        <v>89336960</v>
      </c>
      <c r="I14" s="56">
        <f t="shared" si="2"/>
        <v>0</v>
      </c>
      <c r="J14" s="84">
        <f t="shared" si="2"/>
        <v>0</v>
      </c>
      <c r="K14" s="113">
        <f t="shared" si="2"/>
        <v>106985727</v>
      </c>
      <c r="L14" s="113">
        <f>SUM(L5:L13)</f>
        <v>93325905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2014/15 -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>
        <v>460231</v>
      </c>
      <c r="D17" s="747">
        <v>88571</v>
      </c>
      <c r="E17" s="747">
        <v>132433</v>
      </c>
      <c r="F17" s="747">
        <v>86640</v>
      </c>
      <c r="G17" s="747">
        <v>-921887</v>
      </c>
      <c r="H17" s="747">
        <v>6227187</v>
      </c>
      <c r="I17" s="747"/>
      <c r="J17" s="758"/>
      <c r="K17" s="135">
        <f>SUM(C17:J17)</f>
        <v>6073175</v>
      </c>
      <c r="L17" s="655">
        <f>SUM(F17:J17)</f>
        <v>5391940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>
        <v>3780041</v>
      </c>
      <c r="D18" s="747">
        <v>585484</v>
      </c>
      <c r="E18" s="747">
        <v>337074</v>
      </c>
      <c r="F18" s="747">
        <v>265286</v>
      </c>
      <c r="G18" s="747">
        <v>159518</v>
      </c>
      <c r="H18" s="747">
        <v>7247972</v>
      </c>
      <c r="I18" s="747"/>
      <c r="J18" s="758"/>
      <c r="K18" s="135">
        <f>SUM(C18:J18)</f>
        <v>12375375</v>
      </c>
      <c r="L18" s="655">
        <f>SUM(F18:J18)</f>
        <v>7672776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>
        <v>4485840</v>
      </c>
      <c r="D19" s="747">
        <v>1859845</v>
      </c>
      <c r="E19" s="747">
        <v>1715500</v>
      </c>
      <c r="F19" s="747">
        <v>1769304</v>
      </c>
      <c r="G19" s="747">
        <v>1633379</v>
      </c>
      <c r="H19" s="747">
        <v>67848677</v>
      </c>
      <c r="I19" s="747"/>
      <c r="J19" s="758"/>
      <c r="K19" s="135">
        <f>SUM(C19:J19)</f>
        <v>79312545</v>
      </c>
      <c r="L19" s="655">
        <f>SUM(F19:J19)</f>
        <v>71251360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-313478</v>
      </c>
      <c r="D20" s="747">
        <v>36357</v>
      </c>
      <c r="E20" s="747">
        <v>491924</v>
      </c>
      <c r="F20" s="747">
        <v>499458</v>
      </c>
      <c r="G20" s="747">
        <v>497247</v>
      </c>
      <c r="H20" s="747">
        <v>8013124</v>
      </c>
      <c r="I20" s="747"/>
      <c r="J20" s="758"/>
      <c r="K20" s="135">
        <f>SUM(C20:J20)</f>
        <v>9224632</v>
      </c>
      <c r="L20" s="655">
        <f>SUM(F20:J20)</f>
        <v>9009829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8412634</v>
      </c>
      <c r="D21" s="56">
        <f t="shared" si="3"/>
        <v>2570257</v>
      </c>
      <c r="E21" s="56">
        <f t="shared" si="3"/>
        <v>2676931</v>
      </c>
      <c r="F21" s="56">
        <f t="shared" si="3"/>
        <v>2620688</v>
      </c>
      <c r="G21" s="56">
        <f t="shared" si="3"/>
        <v>1368257</v>
      </c>
      <c r="H21" s="56">
        <f t="shared" si="3"/>
        <v>89336960</v>
      </c>
      <c r="I21" s="56">
        <f t="shared" si="3"/>
        <v>0</v>
      </c>
      <c r="J21" s="84">
        <f>SUM(J17:J20)</f>
        <v>0</v>
      </c>
      <c r="K21" s="113">
        <f>SUM(K17:K20)</f>
        <v>106985727</v>
      </c>
      <c r="L21" s="942">
        <f>SUM(L17:L20)</f>
        <v>93325905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zoomScale="140" zoomScaleNormal="100" zoomScaleSheetLayoutView="140" workbookViewId="0"/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11</v>
      </c>
    </row>
    <row r="11" spans="4:25" x14ac:dyDescent="0.2">
      <c r="W11" s="656" t="s">
        <v>1026</v>
      </c>
      <c r="X11" s="714" t="str">
        <f>VLOOKUP(X10,W39:X55,2)</f>
        <v>M11 May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8</v>
      </c>
    </row>
    <row r="36" spans="22:25" x14ac:dyDescent="0.2">
      <c r="X36" s="694">
        <f>INDEX(X19:X33,X35,1)</f>
        <v>2015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2015/16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2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autoPict="0" r:id="rId5">
            <anchor moveWithCells="1">
              <from>
                <xdr:col>0</xdr:col>
                <xdr:colOff>57150</xdr:colOff>
                <xdr:row>3</xdr:row>
                <xdr:rowOff>28575</xdr:rowOff>
              </from>
              <to>
                <xdr:col>0</xdr:col>
                <xdr:colOff>238125</xdr:colOff>
                <xdr:row>3</xdr:row>
                <xdr:rowOff>57150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autoPict="0" r:id="rId7">
            <anchor moveWithCells="1">
              <from>
                <xdr:col>0</xdr:col>
                <xdr:colOff>57150</xdr:colOff>
                <xdr:row>2</xdr:row>
                <xdr:rowOff>133350</xdr:rowOff>
              </from>
              <to>
                <xdr:col>0</xdr:col>
                <xdr:colOff>238125</xdr:colOff>
                <xdr:row>2</xdr:row>
                <xdr:rowOff>152400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autoPict="0" r:id="rId7">
            <anchor moveWithCells="1">
              <from>
                <xdr:col>0</xdr:col>
                <xdr:colOff>57150</xdr:colOff>
                <xdr:row>2</xdr:row>
                <xdr:rowOff>95250</xdr:rowOff>
              </from>
              <to>
                <xdr:col>0</xdr:col>
                <xdr:colOff>238125</xdr:colOff>
                <xdr:row>2</xdr:row>
                <xdr:rowOff>114300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9" name="TextBox6">
          <controlPr defaultSize="0" autoLine="0" autoPict="0" linkedCell="Contacts!B64" r:id="rId10">
            <anchor moveWithCells="1">
              <from>
                <xdr:col>0</xdr:col>
                <xdr:colOff>419100</xdr:colOff>
                <xdr:row>0</xdr:row>
                <xdr:rowOff>123825</xdr:rowOff>
              </from>
              <to>
                <xdr:col>0</xdr:col>
                <xdr:colOff>523875</xdr:colOff>
                <xdr:row>0</xdr:row>
                <xdr:rowOff>142875</xdr:rowOff>
              </to>
            </anchor>
          </controlPr>
        </control>
      </mc:Choice>
      <mc:Fallback>
        <control shapeId="142361" r:id="rId9" name="TextBox6"/>
      </mc:Fallback>
    </mc:AlternateContent>
    <mc:AlternateContent xmlns:mc="http://schemas.openxmlformats.org/markup-compatibility/2006">
      <mc:Choice Requires="x14">
        <control shapeId="142360" r:id="rId11" name="TextBox5">
          <controlPr defaultSize="0" autoLine="0" autoPict="0" linkedCell="Contacts!B65" r:id="rId12">
            <anchor moveWithCells="1">
              <from>
                <xdr:col>0</xdr:col>
                <xdr:colOff>247650</xdr:colOff>
                <xdr:row>0</xdr:row>
                <xdr:rowOff>152400</xdr:rowOff>
              </from>
              <to>
                <xdr:col>0</xdr:col>
                <xdr:colOff>523875</xdr:colOff>
                <xdr:row>1</xdr:row>
                <xdr:rowOff>0</xdr:rowOff>
              </to>
            </anchor>
          </controlPr>
        </control>
      </mc:Choice>
      <mc:Fallback>
        <control shapeId="142360" r:id="rId11" name="TextBox5"/>
      </mc:Fallback>
    </mc:AlternateContent>
    <mc:AlternateContent xmlns:mc="http://schemas.openxmlformats.org/markup-compatibility/2006">
      <mc:Choice Requires="x14">
        <control shapeId="142359" r:id="rId13" name="TextBox4">
          <controlPr defaultSize="0" autoLine="0" autoPict="0" linkedCell="Contacts!B62" r:id="rId14">
            <anchor moveWithCells="1">
              <from>
                <xdr:col>0</xdr:col>
                <xdr:colOff>247650</xdr:colOff>
                <xdr:row>0</xdr:row>
                <xdr:rowOff>123825</xdr:rowOff>
              </from>
              <to>
                <xdr:col>0</xdr:col>
                <xdr:colOff>371475</xdr:colOff>
                <xdr:row>0</xdr:row>
                <xdr:rowOff>142875</xdr:rowOff>
              </to>
            </anchor>
          </controlPr>
        </control>
      </mc:Choice>
      <mc:Fallback>
        <control shapeId="142359" r:id="rId13" name="TextBox4"/>
      </mc:Fallback>
    </mc:AlternateContent>
    <mc:AlternateContent xmlns:mc="http://schemas.openxmlformats.org/markup-compatibility/2006">
      <mc:Choice Requires="x14">
        <control shapeId="142358" r:id="rId15" name="TextBox3">
          <controlPr defaultSize="0" autoLine="0" autoPict="0" linkedCell="Contacts!B61" r:id="rId16">
            <anchor moveWithCells="1">
              <from>
                <xdr:col>0</xdr:col>
                <xdr:colOff>247650</xdr:colOff>
                <xdr:row>0</xdr:row>
                <xdr:rowOff>95250</xdr:rowOff>
              </from>
              <to>
                <xdr:col>0</xdr:col>
                <xdr:colOff>523875</xdr:colOff>
                <xdr:row>0</xdr:row>
                <xdr:rowOff>114300</xdr:rowOff>
              </to>
            </anchor>
          </controlPr>
        </control>
      </mc:Choice>
      <mc:Fallback>
        <control shapeId="142358" r:id="rId15" name="TextBox3"/>
      </mc:Fallback>
    </mc:AlternateContent>
    <mc:AlternateContent xmlns:mc="http://schemas.openxmlformats.org/markup-compatibility/2006">
      <mc:Choice Requires="x14">
        <control shapeId="142354" r:id="rId17" name="Drop Down 18">
          <controlPr defaultSize="0" autoLine="0" autoPict="0">
            <anchor moveWithCells="1">
              <from>
                <xdr:col>1</xdr:col>
                <xdr:colOff>428625</xdr:colOff>
                <xdr:row>6</xdr:row>
                <xdr:rowOff>47625</xdr:rowOff>
              </from>
              <to>
                <xdr:col>2</xdr:col>
                <xdr:colOff>104775</xdr:colOff>
                <xdr:row>6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8" name="Drop Down 19">
          <controlPr defaultSize="0" autoLine="0" autoPict="0">
            <anchor moveWithCells="1">
              <from>
                <xdr:col>1</xdr:col>
                <xdr:colOff>428625</xdr:colOff>
                <xdr:row>7</xdr:row>
                <xdr:rowOff>19050</xdr:rowOff>
              </from>
              <to>
                <xdr:col>2</xdr:col>
                <xdr:colOff>323850</xdr:colOff>
                <xdr:row>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19" name="Drop Down 20">
          <controlPr defaultSize="0" autoLine="0" autoPict="0">
            <anchor moveWithCells="1">
              <from>
                <xdr:col>1</xdr:col>
                <xdr:colOff>428625</xdr:colOff>
                <xdr:row>5</xdr:row>
                <xdr:rowOff>66675</xdr:rowOff>
              </from>
              <to>
                <xdr:col>2</xdr:col>
                <xdr:colOff>219075</xdr:colOff>
                <xdr:row>5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0" name="Drop Down 37">
          <controlPr defaultSize="0" autoLine="0" autoPict="0">
            <anchor moveWithCells="1">
              <from>
                <xdr:col>1</xdr:col>
                <xdr:colOff>438150</xdr:colOff>
                <xdr:row>1</xdr:row>
                <xdr:rowOff>76200</xdr:rowOff>
              </from>
              <to>
                <xdr:col>3</xdr:col>
                <xdr:colOff>381000</xdr:colOff>
                <xdr:row>1</xdr:row>
                <xdr:rowOff>142875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1" name="Drop Down 39">
          <controlPr defaultSize="0" autoLine="0" autoPict="0">
            <anchor moveWithCells="1">
              <from>
                <xdr:col>1</xdr:col>
                <xdr:colOff>428625</xdr:colOff>
                <xdr:row>4</xdr:row>
                <xdr:rowOff>104775</xdr:rowOff>
              </from>
              <to>
                <xdr:col>2</xdr:col>
                <xdr:colOff>219075</xdr:colOff>
                <xdr:row>5</xdr:row>
                <xdr:rowOff>19050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120" zoomScaleNormal="100" zoomScaleSheetLayoutView="12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9" t="str">
        <f>muni&amp; " - "&amp;S71J&amp; " - "&amp;Head57</f>
        <v>NW385 Ramotshere Moiloa - Supporting Table SC4 Monthly Budget Statement - aged creditors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2" ht="12.75" customHeight="1" x14ac:dyDescent="0.25">
      <c r="A2" s="988" t="str">
        <f>desc</f>
        <v>Description</v>
      </c>
      <c r="B2" s="1013" t="s">
        <v>883</v>
      </c>
      <c r="C2" s="138" t="str">
        <f>Head2</f>
        <v>Budget Year 2015/16</v>
      </c>
      <c r="D2" s="138"/>
      <c r="E2" s="138"/>
      <c r="F2" s="138"/>
      <c r="G2" s="138"/>
      <c r="H2" s="138"/>
      <c r="I2" s="138"/>
      <c r="J2" s="138"/>
      <c r="K2" s="139"/>
      <c r="L2" s="1018" t="s">
        <v>84</v>
      </c>
    </row>
    <row r="3" spans="1:12" ht="12.75" customHeight="1" x14ac:dyDescent="0.25">
      <c r="A3" s="1012"/>
      <c r="B3" s="1014"/>
      <c r="C3" s="1016" t="s">
        <v>875</v>
      </c>
      <c r="D3" s="1010" t="s">
        <v>876</v>
      </c>
      <c r="E3" s="1010" t="s">
        <v>877</v>
      </c>
      <c r="F3" s="1010" t="s">
        <v>878</v>
      </c>
      <c r="G3" s="1010" t="s">
        <v>879</v>
      </c>
      <c r="H3" s="1010" t="s">
        <v>880</v>
      </c>
      <c r="I3" s="1010" t="s">
        <v>881</v>
      </c>
      <c r="J3" s="1021" t="s">
        <v>882</v>
      </c>
      <c r="K3" s="1023" t="s">
        <v>631</v>
      </c>
      <c r="L3" s="1019"/>
    </row>
    <row r="4" spans="1:12" ht="12.75" customHeight="1" x14ac:dyDescent="0.25">
      <c r="A4" s="35" t="s">
        <v>814</v>
      </c>
      <c r="B4" s="1015"/>
      <c r="C4" s="1017"/>
      <c r="D4" s="1011"/>
      <c r="E4" s="1011"/>
      <c r="F4" s="1011"/>
      <c r="G4" s="1011"/>
      <c r="H4" s="1011"/>
      <c r="I4" s="1011"/>
      <c r="J4" s="1022"/>
      <c r="K4" s="1015"/>
      <c r="L4" s="1020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2969855</v>
      </c>
      <c r="D6" s="747">
        <v>3146890</v>
      </c>
      <c r="E6" s="747">
        <v>490768</v>
      </c>
      <c r="F6" s="747"/>
      <c r="G6" s="747">
        <v>0</v>
      </c>
      <c r="H6" s="747">
        <v>0</v>
      </c>
      <c r="I6" s="747">
        <v>0</v>
      </c>
      <c r="J6" s="749"/>
      <c r="K6" s="110">
        <f>SUM(C6:J6)</f>
        <v>6607513</v>
      </c>
      <c r="L6" s="762"/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>
        <v>0</v>
      </c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>
        <v>0</v>
      </c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>
        <v>0</v>
      </c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>
        <v>0</v>
      </c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>
        <v>0</v>
      </c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>
        <v>0</v>
      </c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/>
      <c r="D13" s="747"/>
      <c r="E13" s="747">
        <v>4025</v>
      </c>
      <c r="F13" s="747">
        <v>0</v>
      </c>
      <c r="G13" s="747">
        <v>0</v>
      </c>
      <c r="H13" s="747">
        <v>0</v>
      </c>
      <c r="I13" s="747">
        <v>0</v>
      </c>
      <c r="J13" s="749">
        <v>0</v>
      </c>
      <c r="K13" s="110">
        <f t="shared" si="0"/>
        <v>4025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2596345</v>
      </c>
      <c r="D14" s="747">
        <v>1512864</v>
      </c>
      <c r="E14" s="747">
        <v>1779</v>
      </c>
      <c r="F14" s="747">
        <v>102271</v>
      </c>
      <c r="G14" s="747">
        <v>-40692</v>
      </c>
      <c r="H14" s="747">
        <v>-159158</v>
      </c>
      <c r="I14" s="747">
        <v>626719</v>
      </c>
      <c r="J14" s="749">
        <v>0</v>
      </c>
      <c r="K14" s="110">
        <f>SUM(C14:J14)</f>
        <v>4640128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5566200</v>
      </c>
      <c r="D15" s="56">
        <f t="shared" si="1"/>
        <v>4659754</v>
      </c>
      <c r="E15" s="56">
        <f t="shared" si="1"/>
        <v>496572</v>
      </c>
      <c r="F15" s="56">
        <f t="shared" si="1"/>
        <v>102271</v>
      </c>
      <c r="G15" s="56">
        <f t="shared" si="1"/>
        <v>-40692</v>
      </c>
      <c r="H15" s="56">
        <f t="shared" si="1"/>
        <v>-159158</v>
      </c>
      <c r="I15" s="56">
        <f t="shared" si="1"/>
        <v>626719</v>
      </c>
      <c r="J15" s="236">
        <f>SUM(J6:J14)</f>
        <v>0</v>
      </c>
      <c r="K15" s="113">
        <f>SUM(K6:K14)</f>
        <v>11251666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2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9" t="str">
        <f>muni&amp; " - "&amp;S71K&amp; " - "&amp;Head57</f>
        <v>NW385 Ramotshere Moiloa - Supporting Table SC5 Monthly Budget Statement - investment portfolio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68"/>
    </row>
    <row r="2" spans="1:11" ht="54" customHeight="1" x14ac:dyDescent="0.25">
      <c r="A2" s="271" t="s">
        <v>1059</v>
      </c>
      <c r="B2" s="1013" t="s">
        <v>712</v>
      </c>
      <c r="C2" s="26" t="s">
        <v>139</v>
      </c>
      <c r="D2" s="1024" t="s">
        <v>752</v>
      </c>
      <c r="E2" s="1024" t="s">
        <v>753</v>
      </c>
      <c r="F2" s="1024" t="s">
        <v>675</v>
      </c>
      <c r="G2" s="1024" t="s">
        <v>69</v>
      </c>
      <c r="H2" s="1024" t="s">
        <v>676</v>
      </c>
      <c r="I2" s="1024" t="s">
        <v>1054</v>
      </c>
      <c r="J2" s="1026" t="s">
        <v>1055</v>
      </c>
      <c r="K2" s="285" t="s">
        <v>630</v>
      </c>
    </row>
    <row r="3" spans="1:11" ht="12.75" customHeight="1" x14ac:dyDescent="0.25">
      <c r="A3" s="35" t="s">
        <v>814</v>
      </c>
      <c r="B3" s="1015"/>
      <c r="C3" s="416" t="s">
        <v>140</v>
      </c>
      <c r="D3" s="1025"/>
      <c r="E3" s="1025"/>
      <c r="F3" s="1025"/>
      <c r="G3" s="1025"/>
      <c r="H3" s="1025"/>
      <c r="I3" s="1025"/>
      <c r="J3" s="1027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/>
      <c r="B5" s="170"/>
      <c r="C5" s="759"/>
      <c r="D5" s="747"/>
      <c r="E5" s="747"/>
      <c r="F5" s="747"/>
      <c r="G5" s="777"/>
      <c r="H5" s="747"/>
      <c r="I5" s="747"/>
      <c r="J5" s="749"/>
    </row>
    <row r="6" spans="1:11" ht="12.75" customHeight="1" x14ac:dyDescent="0.25">
      <c r="A6" s="790"/>
      <c r="B6" s="170"/>
      <c r="C6" s="759"/>
      <c r="D6" s="747"/>
      <c r="E6" s="747"/>
      <c r="F6" s="747"/>
      <c r="G6" s="777"/>
      <c r="H6" s="747"/>
      <c r="I6" s="747"/>
      <c r="J6" s="749"/>
    </row>
    <row r="7" spans="1:11" ht="12.75" customHeight="1" x14ac:dyDescent="0.25">
      <c r="A7" s="790"/>
      <c r="B7" s="170"/>
      <c r="C7" s="759"/>
      <c r="D7" s="747"/>
      <c r="E7" s="747"/>
      <c r="F7" s="747"/>
      <c r="G7" s="777"/>
      <c r="H7" s="747"/>
      <c r="I7" s="747"/>
      <c r="J7" s="749"/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0</v>
      </c>
      <c r="G12" s="559"/>
      <c r="H12" s="618">
        <f>SUM(H5:H11)</f>
        <v>0</v>
      </c>
      <c r="I12" s="618">
        <f>SUM(I5:I11)</f>
        <v>0</v>
      </c>
      <c r="J12" s="620">
        <f>SUM(J5:J11)</f>
        <v>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0</v>
      </c>
      <c r="G24" s="727"/>
      <c r="H24" s="56">
        <f>H12+H22</f>
        <v>0</v>
      </c>
      <c r="I24" s="56">
        <f>I12+I22</f>
        <v>0</v>
      </c>
      <c r="J24" s="236">
        <f>J12+J22</f>
        <v>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53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"&amp;S71L&amp; " - "&amp;Head57</f>
        <v>NW385 Ramotshere Moiloa - Supporting Table SC6 Monthly Budget Statement - transfers and grant receipts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137060000</v>
      </c>
      <c r="F8" s="51">
        <f t="shared" si="0"/>
        <v>0</v>
      </c>
      <c r="G8" s="51">
        <f t="shared" si="0"/>
        <v>133676508</v>
      </c>
      <c r="H8" s="51">
        <f t="shared" si="0"/>
        <v>133676508</v>
      </c>
      <c r="I8" s="51">
        <f t="shared" si="0"/>
        <v>0</v>
      </c>
      <c r="J8" s="346" t="str">
        <f>IF(I8=0,"",I8/H8)</f>
        <v/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>
        <v>124944000</v>
      </c>
      <c r="F9" s="748"/>
      <c r="G9" s="748">
        <v>124944000</v>
      </c>
      <c r="H9" s="747">
        <v>124944000</v>
      </c>
      <c r="I9" s="517">
        <f>G9-H9</f>
        <v>0</v>
      </c>
      <c r="J9" s="561" t="str">
        <f>IF(I9=0,"",I9/H9)</f>
        <v/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>
        <v>930000</v>
      </c>
      <c r="F10" s="747"/>
      <c r="G10" s="747">
        <v>930000</v>
      </c>
      <c r="H10" s="747">
        <v>930000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>
        <v>1675000</v>
      </c>
      <c r="F11" s="747"/>
      <c r="G11" s="747">
        <v>1675000</v>
      </c>
      <c r="H11" s="747">
        <v>1675000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>
        <v>1286000</v>
      </c>
      <c r="F12" s="747"/>
      <c r="G12" s="747">
        <v>1286000</v>
      </c>
      <c r="H12" s="747">
        <v>1286000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>
        <v>8225000</v>
      </c>
      <c r="F13" s="747"/>
      <c r="G13" s="747">
        <v>4841508</v>
      </c>
      <c r="H13" s="747">
        <v>4841508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>
        <v>0</v>
      </c>
      <c r="F14" s="747"/>
      <c r="G14" s="747"/>
      <c r="H14" s="747">
        <v>0</v>
      </c>
      <c r="I14" s="45">
        <f t="shared" ref="I14:I19" si="1">G14-H14</f>
        <v>0</v>
      </c>
      <c r="J14" s="125" t="str">
        <f t="shared" ref="J14:J21" si="2">IF(I14=0,"",I14/H14)</f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1"/>
        <v>0</v>
      </c>
      <c r="J15" s="125" t="str">
        <f t="shared" si="2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1"/>
        <v>0</v>
      </c>
      <c r="J16" s="125" t="str">
        <f t="shared" si="2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1"/>
        <v>0</v>
      </c>
      <c r="J17" s="125" t="str">
        <f t="shared" si="2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1"/>
        <v>0</v>
      </c>
      <c r="J18" s="125" t="str">
        <f t="shared" si="2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1"/>
        <v>0</v>
      </c>
      <c r="J19" s="125" t="str">
        <f t="shared" si="2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1000000</v>
      </c>
      <c r="F20" s="433">
        <f t="shared" si="3"/>
        <v>0</v>
      </c>
      <c r="G20" s="433">
        <f t="shared" si="3"/>
        <v>1000000</v>
      </c>
      <c r="H20" s="433">
        <f t="shared" si="3"/>
        <v>1000000</v>
      </c>
      <c r="I20" s="433">
        <f t="shared" si="3"/>
        <v>0</v>
      </c>
      <c r="J20" s="562" t="str">
        <f t="shared" si="2"/>
        <v/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>
        <v>1000000</v>
      </c>
      <c r="F21" s="748"/>
      <c r="G21" s="748">
        <v>1000000</v>
      </c>
      <c r="H21" s="748">
        <v>1000000</v>
      </c>
      <c r="I21" s="517">
        <f>G21-H21</f>
        <v>0</v>
      </c>
      <c r="J21" s="561" t="str">
        <f t="shared" si="2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ref="I23:I31" si="4">G23-H23</f>
        <v>0</v>
      </c>
      <c r="J23" s="125" t="str">
        <f t="shared" ref="J23:J31" si="5">IF(I23=0,"",I23/H23)</f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5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5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5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6">SUM(C28:C29)</f>
        <v>0</v>
      </c>
      <c r="D27" s="478">
        <f t="shared" si="6"/>
        <v>0</v>
      </c>
      <c r="E27" s="433">
        <f t="shared" si="6"/>
        <v>0</v>
      </c>
      <c r="F27" s="433">
        <f t="shared" si="6"/>
        <v>0</v>
      </c>
      <c r="G27" s="433">
        <f t="shared" si="6"/>
        <v>0</v>
      </c>
      <c r="H27" s="433">
        <f t="shared" si="6"/>
        <v>0</v>
      </c>
      <c r="I27" s="517">
        <f t="shared" si="4"/>
        <v>0</v>
      </c>
      <c r="J27" s="561" t="str">
        <f t="shared" si="5"/>
        <v/>
      </c>
      <c r="K27" s="516">
        <f>SUM(K28:K29)</f>
        <v>0</v>
      </c>
    </row>
    <row r="28" spans="1:11" ht="12.75" customHeight="1" x14ac:dyDescent="0.25">
      <c r="A28" s="795" t="s">
        <v>1364</v>
      </c>
      <c r="B28" s="170"/>
      <c r="C28" s="797"/>
      <c r="D28" s="798"/>
      <c r="E28" s="751"/>
      <c r="F28" s="751"/>
      <c r="G28" s="751">
        <v>0</v>
      </c>
      <c r="H28" s="751">
        <f>D28/4</f>
        <v>0</v>
      </c>
      <c r="I28" s="517">
        <f t="shared" si="4"/>
        <v>0</v>
      </c>
      <c r="J28" s="561" t="str">
        <f t="shared" si="5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5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7">SUM(C31:C37)</f>
        <v>0</v>
      </c>
      <c r="D30" s="478">
        <f t="shared" si="7"/>
        <v>0</v>
      </c>
      <c r="E30" s="433">
        <f t="shared" si="7"/>
        <v>0</v>
      </c>
      <c r="F30" s="433">
        <f t="shared" si="7"/>
        <v>0</v>
      </c>
      <c r="G30" s="433">
        <f t="shared" si="7"/>
        <v>0</v>
      </c>
      <c r="H30" s="433">
        <f t="shared" si="7"/>
        <v>0</v>
      </c>
      <c r="I30" s="517">
        <f t="shared" si="4"/>
        <v>0</v>
      </c>
      <c r="J30" s="561" t="str">
        <f t="shared" si="5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5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>G37-H37</f>
        <v>0</v>
      </c>
      <c r="J37" s="125" t="str">
        <f>IF(I37=0,"",I37/H37)</f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8">C8+C20+C27+C30</f>
        <v>0</v>
      </c>
      <c r="D38" s="75">
        <f t="shared" si="8"/>
        <v>140531000</v>
      </c>
      <c r="E38" s="74">
        <f t="shared" si="8"/>
        <v>138060000</v>
      </c>
      <c r="F38" s="74">
        <f t="shared" si="8"/>
        <v>0</v>
      </c>
      <c r="G38" s="74">
        <f t="shared" si="8"/>
        <v>134676508</v>
      </c>
      <c r="H38" s="74">
        <f t="shared" si="8"/>
        <v>134676508</v>
      </c>
      <c r="I38" s="74">
        <f t="shared" si="8"/>
        <v>0</v>
      </c>
      <c r="J38" s="307" t="str">
        <f>IF(I38=0,"",I38/H38)</f>
        <v/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9">SUM(C42:C51)</f>
        <v>0</v>
      </c>
      <c r="D41" s="47">
        <f t="shared" si="9"/>
        <v>35982000</v>
      </c>
      <c r="E41" s="45">
        <f t="shared" si="9"/>
        <v>28122000</v>
      </c>
      <c r="F41" s="45">
        <f t="shared" si="9"/>
        <v>0</v>
      </c>
      <c r="G41" s="45">
        <f t="shared" si="9"/>
        <v>28182000</v>
      </c>
      <c r="H41" s="45">
        <f t="shared" si="9"/>
        <v>28122000</v>
      </c>
      <c r="I41" s="45">
        <f t="shared" si="9"/>
        <v>60000</v>
      </c>
      <c r="J41" s="346">
        <f t="shared" ref="J41:J71" si="10">IF(I41=0,"",I41/H41)</f>
        <v>2.1335609131640709E-3</v>
      </c>
      <c r="K41" s="145">
        <f t="shared" si="9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>
        <f>35982000-7860000</f>
        <v>28122000</v>
      </c>
      <c r="F42" s="748">
        <v>0</v>
      </c>
      <c r="G42" s="748">
        <f>28122000+60000</f>
        <v>28182000</v>
      </c>
      <c r="H42" s="748">
        <v>28122000</v>
      </c>
      <c r="I42" s="517">
        <f t="shared" ref="I42:I51" si="11">G42-H42</f>
        <v>60000</v>
      </c>
      <c r="J42" s="561">
        <f t="shared" si="10"/>
        <v>2.1335609131640709E-3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1"/>
        <v>0</v>
      </c>
      <c r="J47" s="125" t="str">
        <f t="shared" si="10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1"/>
        <v>0</v>
      </c>
      <c r="J48" s="125" t="str">
        <f t="shared" si="10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1"/>
        <v>0</v>
      </c>
      <c r="J49" s="125" t="str">
        <f t="shared" si="10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1"/>
        <v>0</v>
      </c>
      <c r="J50" s="125" t="str">
        <f t="shared" si="10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1"/>
        <v>0</v>
      </c>
      <c r="J51" s="125" t="str">
        <f t="shared" si="10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2">SUM(C53:C58)</f>
        <v>0</v>
      </c>
      <c r="D52" s="478">
        <f t="shared" si="12"/>
        <v>0</v>
      </c>
      <c r="E52" s="433">
        <f t="shared" si="12"/>
        <v>0</v>
      </c>
      <c r="F52" s="433">
        <f t="shared" si="12"/>
        <v>0</v>
      </c>
      <c r="G52" s="433">
        <f t="shared" si="12"/>
        <v>0</v>
      </c>
      <c r="H52" s="433">
        <f t="shared" si="12"/>
        <v>0</v>
      </c>
      <c r="I52" s="517">
        <f t="shared" ref="I52:I68" si="13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3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3"/>
        <v>0</v>
      </c>
      <c r="J58" s="125" t="str">
        <f t="shared" si="10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4">SUM(C60:C61)</f>
        <v>0</v>
      </c>
      <c r="D59" s="478">
        <f t="shared" si="14"/>
        <v>0</v>
      </c>
      <c r="E59" s="433">
        <f t="shared" si="14"/>
        <v>0</v>
      </c>
      <c r="F59" s="433">
        <f t="shared" si="14"/>
        <v>0</v>
      </c>
      <c r="G59" s="433">
        <f t="shared" si="14"/>
        <v>0</v>
      </c>
      <c r="H59" s="433">
        <f t="shared" si="14"/>
        <v>0</v>
      </c>
      <c r="I59" s="517">
        <f t="shared" si="13"/>
        <v>0</v>
      </c>
      <c r="J59" s="561" t="str">
        <f t="shared" si="10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3"/>
        <v>0</v>
      </c>
      <c r="J60" s="561" t="str">
        <f t="shared" si="10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3"/>
        <v>0</v>
      </c>
      <c r="J61" s="125" t="str">
        <f t="shared" si="10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5">SUM(C63:C68)</f>
        <v>0</v>
      </c>
      <c r="D62" s="478">
        <f t="shared" si="15"/>
        <v>15000000</v>
      </c>
      <c r="E62" s="433">
        <f t="shared" si="15"/>
        <v>15000000</v>
      </c>
      <c r="F62" s="433">
        <f t="shared" si="15"/>
        <v>0</v>
      </c>
      <c r="G62" s="433">
        <f t="shared" si="15"/>
        <v>15000000</v>
      </c>
      <c r="H62" s="433">
        <f t="shared" si="15"/>
        <v>15000000</v>
      </c>
      <c r="I62" s="517">
        <f t="shared" si="13"/>
        <v>0</v>
      </c>
      <c r="J62" s="561" t="str">
        <f t="shared" si="10"/>
        <v/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>
        <v>15000000</v>
      </c>
      <c r="F63" s="751">
        <v>0</v>
      </c>
      <c r="G63" s="751">
        <v>15000000</v>
      </c>
      <c r="H63" s="751">
        <v>15000000</v>
      </c>
      <c r="I63" s="517">
        <f t="shared" si="13"/>
        <v>0</v>
      </c>
      <c r="J63" s="561" t="str">
        <f>IF(I63=0,"",I63/H63)</f>
        <v/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1373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3"/>
        <v>0</v>
      </c>
      <c r="J68" s="125" t="str">
        <f t="shared" si="10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6">D41+D52+D59+D62</f>
        <v>50982000</v>
      </c>
      <c r="E69" s="433">
        <f t="shared" si="16"/>
        <v>43122000</v>
      </c>
      <c r="F69" s="433">
        <f t="shared" si="16"/>
        <v>0</v>
      </c>
      <c r="G69" s="433">
        <f t="shared" si="16"/>
        <v>43182000</v>
      </c>
      <c r="H69" s="433">
        <f t="shared" si="16"/>
        <v>43122000</v>
      </c>
      <c r="I69" s="433">
        <f t="shared" si="16"/>
        <v>60000</v>
      </c>
      <c r="J69" s="562">
        <f t="shared" si="10"/>
        <v>1.3914011409489355E-3</v>
      </c>
      <c r="K69" s="516">
        <f t="shared" si="16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7">C38+C69</f>
        <v>0</v>
      </c>
      <c r="D71" s="308">
        <f t="shared" si="17"/>
        <v>191513000</v>
      </c>
      <c r="E71" s="309">
        <f t="shared" si="17"/>
        <v>181182000</v>
      </c>
      <c r="F71" s="309">
        <f t="shared" si="17"/>
        <v>0</v>
      </c>
      <c r="G71" s="309">
        <f t="shared" si="17"/>
        <v>177858508</v>
      </c>
      <c r="H71" s="309">
        <f t="shared" si="17"/>
        <v>177798508</v>
      </c>
      <c r="I71" s="309">
        <f t="shared" si="17"/>
        <v>60000</v>
      </c>
      <c r="J71" s="310">
        <f t="shared" si="10"/>
        <v>3.3746064955730674E-4</v>
      </c>
      <c r="K71" s="311">
        <f t="shared" si="17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"&amp;S71M&amp; " - "&amp;Head57</f>
        <v>NW385 Ramotshere Moiloa - Supporting Table SC7(1) Monthly Budget Statement - transfers and grant expenditure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139531000</v>
      </c>
      <c r="F8" s="51">
        <f t="shared" si="0"/>
        <v>186507</v>
      </c>
      <c r="G8" s="51">
        <f t="shared" si="0"/>
        <v>135202771.40000001</v>
      </c>
      <c r="H8" s="51">
        <f t="shared" si="0"/>
        <v>133676508</v>
      </c>
      <c r="I8" s="51">
        <f t="shared" si="0"/>
        <v>1526263.4</v>
      </c>
      <c r="J8" s="346">
        <f t="shared" ref="J8:J28" si="1">IF(I8=0,"",I8/H8)</f>
        <v>1.1417588795781529E-2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>
        <v>127415000</v>
      </c>
      <c r="F9" s="748"/>
      <c r="G9" s="748">
        <v>125248000</v>
      </c>
      <c r="H9" s="747">
        <v>124944000</v>
      </c>
      <c r="I9" s="517">
        <f t="shared" ref="I9:I15" si="2">G9-H9</f>
        <v>304000</v>
      </c>
      <c r="J9" s="561">
        <f t="shared" si="1"/>
        <v>2.4330900243309003E-3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>
        <v>930000</v>
      </c>
      <c r="F10" s="747">
        <v>104880</v>
      </c>
      <c r="G10" s="747">
        <v>880693</v>
      </c>
      <c r="H10" s="747">
        <v>930000</v>
      </c>
      <c r="I10" s="45">
        <f t="shared" si="2"/>
        <v>-49307</v>
      </c>
      <c r="J10" s="125">
        <f t="shared" si="1"/>
        <v>-5.3018279569892475E-2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>
        <v>1675000</v>
      </c>
      <c r="F11" s="747">
        <v>81627</v>
      </c>
      <c r="G11" s="747">
        <v>1617620.4</v>
      </c>
      <c r="H11" s="747">
        <v>1675000</v>
      </c>
      <c r="I11" s="45">
        <f t="shared" si="2"/>
        <v>-57379.600000000093</v>
      </c>
      <c r="J11" s="125">
        <f t="shared" si="1"/>
        <v>-3.4256477611940353E-2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>
        <v>1286000</v>
      </c>
      <c r="F12" s="747"/>
      <c r="G12" s="747">
        <v>2590300</v>
      </c>
      <c r="H12" s="747">
        <v>1286000</v>
      </c>
      <c r="I12" s="45">
        <f t="shared" si="2"/>
        <v>1304300</v>
      </c>
      <c r="J12" s="125">
        <f t="shared" si="1"/>
        <v>1.0142301710730948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>
        <v>8225000</v>
      </c>
      <c r="F13" s="747"/>
      <c r="G13" s="747">
        <v>4866158</v>
      </c>
      <c r="H13" s="747">
        <v>4841508</v>
      </c>
      <c r="I13" s="45">
        <f t="shared" si="2"/>
        <v>24650</v>
      </c>
      <c r="J13" s="125">
        <f t="shared" si="1"/>
        <v>5.0913888813154907E-3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1000000</v>
      </c>
      <c r="F16" s="433">
        <f t="shared" si="3"/>
        <v>0</v>
      </c>
      <c r="G16" s="433">
        <f t="shared" si="3"/>
        <v>746101</v>
      </c>
      <c r="H16" s="433">
        <f>SUM(H17:H21)</f>
        <v>1000000</v>
      </c>
      <c r="I16" s="433">
        <f t="shared" si="3"/>
        <v>-253899</v>
      </c>
      <c r="J16" s="562">
        <f t="shared" si="1"/>
        <v>-0.25389899999999999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>
        <v>1000000</v>
      </c>
      <c r="F17" s="748"/>
      <c r="G17" s="748">
        <v>746101</v>
      </c>
      <c r="H17" s="748">
        <v>1000000</v>
      </c>
      <c r="I17" s="517">
        <f>G17-H17</f>
        <v>-253899</v>
      </c>
      <c r="J17" s="561">
        <f>IF(I17=0,"",I17/H17)</f>
        <v>-0.25389899999999999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ref="I18:I27" si="4">G18-H18</f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140531000</v>
      </c>
      <c r="F28" s="74">
        <f t="shared" si="7"/>
        <v>186507</v>
      </c>
      <c r="G28" s="74">
        <f t="shared" si="7"/>
        <v>135948872.40000001</v>
      </c>
      <c r="H28" s="74">
        <f t="shared" si="7"/>
        <v>134676508</v>
      </c>
      <c r="I28" s="74">
        <f t="shared" si="7"/>
        <v>1272364.3999999999</v>
      </c>
      <c r="J28" s="307">
        <f t="shared" si="1"/>
        <v>9.4475600748424506E-3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28122000</v>
      </c>
      <c r="F31" s="45">
        <f t="shared" si="8"/>
        <v>0</v>
      </c>
      <c r="G31" s="45">
        <f t="shared" si="8"/>
        <v>28122000</v>
      </c>
      <c r="H31" s="45">
        <f t="shared" si="8"/>
        <v>28122000</v>
      </c>
      <c r="I31" s="45">
        <f t="shared" si="8"/>
        <v>0</v>
      </c>
      <c r="J31" s="346" t="str">
        <f t="shared" ref="J31:J46" si="9">IF(I31=0,"",I31/H31)</f>
        <v/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>
        <v>28122000</v>
      </c>
      <c r="F32" s="748"/>
      <c r="G32" s="748">
        <v>28122000</v>
      </c>
      <c r="H32" s="748">
        <v>28122000</v>
      </c>
      <c r="I32" s="517">
        <f t="shared" ref="I32:I37" si="10">G32-H32</f>
        <v>0</v>
      </c>
      <c r="J32" s="561" t="str">
        <f t="shared" si="9"/>
        <v/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15000000</v>
      </c>
      <c r="F44" s="433">
        <f t="shared" si="14"/>
        <v>1271556</v>
      </c>
      <c r="G44" s="433">
        <f t="shared" si="14"/>
        <v>17855410</v>
      </c>
      <c r="H44" s="433">
        <f t="shared" si="14"/>
        <v>15000000</v>
      </c>
      <c r="I44" s="517">
        <f t="shared" si="12"/>
        <v>2855410</v>
      </c>
      <c r="J44" s="561">
        <f t="shared" si="9"/>
        <v>0.19036066666666668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>
        <v>15000000</v>
      </c>
      <c r="F45" s="751">
        <v>1271556</v>
      </c>
      <c r="G45" s="751">
        <v>17855410</v>
      </c>
      <c r="H45" s="751">
        <v>15000000</v>
      </c>
      <c r="I45" s="517">
        <f t="shared" si="12"/>
        <v>2855410</v>
      </c>
      <c r="J45" s="561">
        <f t="shared" si="9"/>
        <v>0.19036066666666668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43122000</v>
      </c>
      <c r="F47" s="74">
        <f t="shared" si="15"/>
        <v>1271556</v>
      </c>
      <c r="G47" s="74">
        <f t="shared" si="15"/>
        <v>45977410</v>
      </c>
      <c r="H47" s="74">
        <f t="shared" si="15"/>
        <v>43122000</v>
      </c>
      <c r="I47" s="74">
        <f t="shared" si="15"/>
        <v>2855410</v>
      </c>
      <c r="J47" s="307">
        <f>IF(I47=0,"",I47/H47)</f>
        <v>6.6217012197950009E-2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183653000</v>
      </c>
      <c r="F49" s="56">
        <f t="shared" si="16"/>
        <v>1458063</v>
      </c>
      <c r="G49" s="56">
        <f t="shared" si="16"/>
        <v>181926282.40000001</v>
      </c>
      <c r="H49" s="56">
        <f t="shared" si="16"/>
        <v>177798508</v>
      </c>
      <c r="I49" s="56">
        <f t="shared" si="16"/>
        <v>4127774.4</v>
      </c>
      <c r="J49" s="293">
        <f>IF(I49=0,"",I49/H49)</f>
        <v>2.3216023837500366E-2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9" t="str">
        <f>muni&amp; " - "&amp;S71T&amp; " - "&amp;Head57</f>
        <v>NW385 Ramotshere Moiloa - Supporting Table SC7(2) Monthly Budget Statement - Expenditure against approved rollovers - M11 May</v>
      </c>
      <c r="B1" s="999"/>
      <c r="C1" s="999"/>
      <c r="D1" s="999"/>
      <c r="E1" s="999"/>
      <c r="F1" s="999"/>
      <c r="G1" s="999"/>
    </row>
    <row r="2" spans="1:7" ht="21.7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5"/>
    </row>
    <row r="3" spans="1:7" ht="39.75" customHeight="1" x14ac:dyDescent="0.25">
      <c r="A3" s="989"/>
      <c r="B3" s="992"/>
      <c r="C3" s="200" t="str">
        <f>"Approved Rollover " &amp;Head1</f>
        <v>Approved Rollover 2014/15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9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"&amp;S71N&amp; " - "&amp;Head57</f>
        <v>NW385 Ramotshere Moiloa - Supporting Table SC8 Monthly Budget Statement - councillor and staff benefits 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">
        <v>797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>
        <v>7338193.0600000005</v>
      </c>
      <c r="F7" s="747">
        <f>497669-158216</f>
        <v>339453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>
        <v>0</v>
      </c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>
        <v>2976720</v>
      </c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>
        <v>969122.12000000011</v>
      </c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>
        <v>523174</v>
      </c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11807209.18</v>
      </c>
      <c r="F14" s="433">
        <f t="shared" si="2"/>
        <v>593931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>
        <v>1890672.8047019402</v>
      </c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>
        <v>1504323.1177826177</v>
      </c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>
        <v>0</v>
      </c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>
        <v>0</v>
      </c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>
        <v>999768.25536071614</v>
      </c>
      <c r="F22" s="747">
        <v>96299</v>
      </c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>
        <v>0</v>
      </c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>
        <v>236739.00379518612</v>
      </c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4631503.1816404602</v>
      </c>
      <c r="F30" s="433">
        <f>SUM(F18:F29)</f>
        <v>1763419.6790747631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>
        <v>3688821</v>
      </c>
      <c r="F34" s="747">
        <f>2682817-750000</f>
        <v>1932817</v>
      </c>
      <c r="G34" s="747">
        <v>14739574.1154176</v>
      </c>
      <c r="H34" s="747">
        <v>20390660.969999999</v>
      </c>
      <c r="I34" s="45">
        <f t="shared" ref="I34:I46" si="6">G34-H34</f>
        <v>-5651086.8545823991</v>
      </c>
      <c r="J34" s="333">
        <f t="shared" ref="J34:J45" si="7">IF(I34=0,"",I34/H34)</f>
        <v>-0.27714093539668122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>
        <v>1794333</v>
      </c>
      <c r="F35" s="747">
        <v>1653815.78185803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>
        <v>3415010</v>
      </c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>
        <v>2150977</v>
      </c>
      <c r="F37" s="747">
        <v>206371</v>
      </c>
      <c r="G37" s="747"/>
      <c r="H37" s="747">
        <v>659692.66666666663</v>
      </c>
      <c r="I37" s="45">
        <f t="shared" si="6"/>
        <v>-659692.66666666663</v>
      </c>
      <c r="J37" s="333">
        <f t="shared" si="7"/>
        <v>-1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>
        <v>0</v>
      </c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>
        <v>1260000</v>
      </c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>
        <v>108000</v>
      </c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>
        <v>442440</v>
      </c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>
        <v>688442</v>
      </c>
      <c r="F42" s="747">
        <f>1196127.52-272631</f>
        <v>923496.52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13548023</v>
      </c>
      <c r="F46" s="433">
        <f>SUM(F34:F45)</f>
        <v>6459860.1313620731</v>
      </c>
      <c r="G46" s="433">
        <f>SUM(G34:G45)</f>
        <v>30507367.859007865</v>
      </c>
      <c r="H46" s="433">
        <f>SUM(H34:H45)</f>
        <v>30863768.666232571</v>
      </c>
      <c r="I46" s="433">
        <f t="shared" si="6"/>
        <v>-356400.80722470582</v>
      </c>
      <c r="J46" s="434">
        <f>IF(I46=0,"",I46/H46)</f>
        <v>-1.1547546609712533E-2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29986735.361640461</v>
      </c>
      <c r="F49" s="74">
        <f t="shared" si="9"/>
        <v>8817210.8104368374</v>
      </c>
      <c r="G49" s="74">
        <f t="shared" si="9"/>
        <v>40057390.12958245</v>
      </c>
      <c r="H49" s="74">
        <f t="shared" si="9"/>
        <v>36923862.885060593</v>
      </c>
      <c r="I49" s="74">
        <f>G49-H49</f>
        <v>3133527.2445218563</v>
      </c>
      <c r="J49" s="334">
        <f>IF(I49=0,"",I49/H49)</f>
        <v>8.4864556405599756E-2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29986735.361640461</v>
      </c>
      <c r="F104" s="56">
        <f t="shared" si="20"/>
        <v>8817210.8104368374</v>
      </c>
      <c r="G104" s="56">
        <f t="shared" si="20"/>
        <v>40057390.12958245</v>
      </c>
      <c r="H104" s="56">
        <f t="shared" si="20"/>
        <v>36923862.885060593</v>
      </c>
      <c r="I104" s="56">
        <f>G104-H104</f>
        <v>3133527.2445218563</v>
      </c>
      <c r="J104" s="335">
        <f>IF(I104=0,"",I104/H104)</f>
        <v>8.4864556405599756E-2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18179526.181640461</v>
      </c>
      <c r="F106" s="56">
        <f t="shared" si="21"/>
        <v>8223279.8104368364</v>
      </c>
      <c r="G106" s="56">
        <f t="shared" si="21"/>
        <v>37110850.12958245</v>
      </c>
      <c r="H106" s="56">
        <f t="shared" si="21"/>
        <v>32988126.491505381</v>
      </c>
      <c r="I106" s="56">
        <f t="shared" si="21"/>
        <v>4122723.6380770663</v>
      </c>
      <c r="J106" s="913">
        <f>IF(I106=0,"",I106/H106)</f>
        <v>0.12497598610635526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3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M11 May</v>
      </c>
      <c r="B1" s="69"/>
    </row>
    <row r="2" spans="1:17" ht="25.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1034"/>
      <c r="O2" s="983" t="str">
        <f>'Template names'!B5</f>
        <v>2015/16 Medium Term Revenue &amp; Expenditure Framework</v>
      </c>
      <c r="P2" s="984"/>
      <c r="Q2" s="985"/>
    </row>
    <row r="3" spans="1:17" ht="12.75" customHeight="1" x14ac:dyDescent="0.25">
      <c r="A3" s="989"/>
      <c r="B3" s="992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32" t="str">
        <f>Head9</f>
        <v>Budget Year 2015/16</v>
      </c>
      <c r="P3" s="1028" t="str">
        <f>Head10</f>
        <v>Budget Year +1 2016/17</v>
      </c>
      <c r="Q3" s="1030" t="str">
        <f>Head11</f>
        <v>Budget Year +2 2017/18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3"/>
      <c r="P4" s="1029"/>
      <c r="Q4" s="1031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>
        <v>4171746</v>
      </c>
      <c r="K6" s="747">
        <v>2870178</v>
      </c>
      <c r="L6" s="747">
        <v>3250263</v>
      </c>
      <c r="M6" s="747">
        <v>3788710.1049818518</v>
      </c>
      <c r="N6" s="109">
        <f t="shared" ref="N6:N21" si="0">O6-SUM(C6:M6)</f>
        <v>-27921205.104981851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>
        <v>0</v>
      </c>
      <c r="M7" s="747">
        <v>0</v>
      </c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>
        <v>1839695</v>
      </c>
      <c r="K8" s="747">
        <v>1384642</v>
      </c>
      <c r="L8" s="747">
        <v>1528554</v>
      </c>
      <c r="M8" s="747">
        <v>4115124</v>
      </c>
      <c r="N8" s="109">
        <f t="shared" si="0"/>
        <v>-24996284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>
        <v>1452263</v>
      </c>
      <c r="K9" s="747">
        <v>1069765</v>
      </c>
      <c r="L9" s="747">
        <v>1328951</v>
      </c>
      <c r="M9" s="747">
        <v>271167.78122643701</v>
      </c>
      <c r="N9" s="109">
        <f t="shared" si="0"/>
        <v>-8316566.7812264366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>
        <v>1049337</v>
      </c>
      <c r="K10" s="747">
        <v>704596</v>
      </c>
      <c r="L10" s="747">
        <v>786709</v>
      </c>
      <c r="M10" s="747">
        <v>153790</v>
      </c>
      <c r="N10" s="109">
        <f t="shared" si="0"/>
        <v>-6831506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>
        <v>1654674</v>
      </c>
      <c r="K11" s="747">
        <v>691774</v>
      </c>
      <c r="L11" s="747">
        <v>395025</v>
      </c>
      <c r="M11" s="747">
        <v>20107.605666030497</v>
      </c>
      <c r="N11" s="109">
        <f t="shared" si="0"/>
        <v>-10752691.60566603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>
        <v>0</v>
      </c>
      <c r="M12" s="747">
        <v>0</v>
      </c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>
        <v>13139.09</v>
      </c>
      <c r="K13" s="747">
        <v>2182</v>
      </c>
      <c r="L13" s="747">
        <v>1500</v>
      </c>
      <c r="M13" s="747">
        <v>3027</v>
      </c>
      <c r="N13" s="109">
        <f t="shared" si="0"/>
        <v>-89874.5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>
        <v>156010</v>
      </c>
      <c r="K14" s="747">
        <v>5120</v>
      </c>
      <c r="L14" s="747">
        <v>0</v>
      </c>
      <c r="M14" s="747"/>
      <c r="N14" s="109">
        <f t="shared" si="0"/>
        <v>-754905.89999999991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>
        <v>0</v>
      </c>
      <c r="K15" s="747">
        <v>0</v>
      </c>
      <c r="L15" s="747">
        <v>7600</v>
      </c>
      <c r="M15" s="747">
        <v>8000</v>
      </c>
      <c r="N15" s="109">
        <f t="shared" si="0"/>
        <v>-62000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/>
      <c r="M16" s="747">
        <v>0</v>
      </c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>
        <v>774406</v>
      </c>
      <c r="K17" s="747">
        <v>32544</v>
      </c>
      <c r="L17" s="747">
        <v>23828</v>
      </c>
      <c r="M17" s="747">
        <v>115</v>
      </c>
      <c r="N17" s="109">
        <f t="shared" si="0"/>
        <v>-2378486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>
        <v>39006</v>
      </c>
      <c r="K18" s="747">
        <v>24956.17</v>
      </c>
      <c r="L18" s="747">
        <v>308456</v>
      </c>
      <c r="M18" s="747">
        <v>524333</v>
      </c>
      <c r="N18" s="109">
        <f t="shared" si="0"/>
        <v>-4591669.01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>
        <v>0</v>
      </c>
      <c r="L19" s="747"/>
      <c r="M19" s="747">
        <v>0</v>
      </c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/>
      <c r="J20" s="747"/>
      <c r="K20" s="747">
        <v>32240000</v>
      </c>
      <c r="L20" s="747"/>
      <c r="M20" s="747">
        <v>0</v>
      </c>
      <c r="N20" s="109">
        <f t="shared" si="0"/>
        <v>-135799718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>
        <v>631046</v>
      </c>
      <c r="K21" s="747">
        <v>2484540</v>
      </c>
      <c r="L21" s="747">
        <v>1242176</v>
      </c>
      <c r="M21" s="747">
        <v>13880723</v>
      </c>
      <c r="N21" s="109">
        <f t="shared" si="0"/>
        <v>-61055831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11781322.09</v>
      </c>
      <c r="K22" s="433">
        <f t="shared" si="1"/>
        <v>41510297.170000002</v>
      </c>
      <c r="L22" s="433">
        <f t="shared" si="1"/>
        <v>8873062</v>
      </c>
      <c r="M22" s="433">
        <f t="shared" si="1"/>
        <v>22765097.491874319</v>
      </c>
      <c r="N22" s="511">
        <f t="shared" si="1"/>
        <v>-283550737.9018743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>
        <v>3060000</v>
      </c>
      <c r="L25" s="747"/>
      <c r="M25" s="747"/>
      <c r="N25" s="109">
        <f t="shared" si="2"/>
        <v>-43182000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11781322.09</v>
      </c>
      <c r="K34" s="74">
        <f t="shared" si="3"/>
        <v>44570297.170000002</v>
      </c>
      <c r="L34" s="74">
        <f t="shared" si="3"/>
        <v>8873062</v>
      </c>
      <c r="M34" s="74">
        <f t="shared" si="3"/>
        <v>22765097.491874319</v>
      </c>
      <c r="N34" s="323">
        <f t="shared" si="3"/>
        <v>-326732737.9018743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10167210</v>
      </c>
      <c r="J37" s="747">
        <v>9679704</v>
      </c>
      <c r="K37" s="747">
        <v>9246319</v>
      </c>
      <c r="L37" s="747">
        <v>9090079</v>
      </c>
      <c r="M37" s="747">
        <v>8817369</v>
      </c>
      <c r="N37" s="109">
        <f t="shared" si="4"/>
        <v>-100563613.86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751839</v>
      </c>
      <c r="J38" s="747">
        <v>584595.03</v>
      </c>
      <c r="K38" s="747">
        <v>593783.76</v>
      </c>
      <c r="L38" s="747">
        <v>593784</v>
      </c>
      <c r="M38" s="747">
        <v>593784</v>
      </c>
      <c r="N38" s="109">
        <f t="shared" si="4"/>
        <v>-6653633.0899999999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>
        <v>16982346</v>
      </c>
      <c r="K40" s="747"/>
      <c r="L40" s="747">
        <v>3335837</v>
      </c>
      <c r="M40" s="747">
        <v>2561865</v>
      </c>
      <c r="N40" s="109">
        <f t="shared" si="4"/>
        <v>-38741573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>
        <v>312666.40000000002</v>
      </c>
      <c r="K42" s="747">
        <v>394487.4</v>
      </c>
      <c r="L42" s="747">
        <v>750714</v>
      </c>
      <c r="M42" s="747">
        <v>291174</v>
      </c>
      <c r="N42" s="109">
        <f t="shared" si="4"/>
        <v>-4397947.9420042373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>
        <v>1139510.56</v>
      </c>
      <c r="K43" s="747">
        <v>1562406.37</v>
      </c>
      <c r="L43" s="747">
        <v>571158</v>
      </c>
      <c r="M43" s="747">
        <v>557791</v>
      </c>
      <c r="N43" s="109">
        <f t="shared" si="4"/>
        <v>-8601236.1099999994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>
        <v>0</v>
      </c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>
        <v>316865</v>
      </c>
      <c r="K45" s="747">
        <v>181475</v>
      </c>
      <c r="L45" s="747">
        <v>286990</v>
      </c>
      <c r="M45" s="747"/>
      <c r="N45" s="109">
        <f t="shared" si="4"/>
        <v>-3119100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v>1550551</v>
      </c>
      <c r="J46" s="747">
        <v>874727</v>
      </c>
      <c r="K46" s="747">
        <v>11628481</v>
      </c>
      <c r="L46" s="747">
        <v>6574770</v>
      </c>
      <c r="M46" s="747">
        <v>15152427</v>
      </c>
      <c r="N46" s="109">
        <f t="shared" si="4"/>
        <v>-127372239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13924668.91</v>
      </c>
      <c r="J47" s="433">
        <f t="shared" si="5"/>
        <v>29890413.989999998</v>
      </c>
      <c r="K47" s="433">
        <f t="shared" si="5"/>
        <v>23606952.530000001</v>
      </c>
      <c r="L47" s="433">
        <f t="shared" si="5"/>
        <v>21203332</v>
      </c>
      <c r="M47" s="433">
        <f t="shared" si="5"/>
        <v>27974410</v>
      </c>
      <c r="N47" s="511">
        <f t="shared" si="5"/>
        <v>-289449343.00200421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>
        <v>7648776</v>
      </c>
      <c r="K50" s="747">
        <v>32938</v>
      </c>
      <c r="L50" s="747">
        <v>6338423</v>
      </c>
      <c r="M50" s="747">
        <v>4086955.5299999993</v>
      </c>
      <c r="N50" s="109">
        <f>O50-SUM(C50:M50)</f>
        <v>-49464678.530000001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18782719.91</v>
      </c>
      <c r="J53" s="74">
        <f t="shared" si="6"/>
        <v>37539189.989999995</v>
      </c>
      <c r="K53" s="74">
        <f t="shared" si="6"/>
        <v>23639890.530000001</v>
      </c>
      <c r="L53" s="74">
        <f t="shared" si="6"/>
        <v>27541755</v>
      </c>
      <c r="M53" s="74">
        <f t="shared" si="6"/>
        <v>32061365.530000001</v>
      </c>
      <c r="N53" s="323">
        <f t="shared" si="6"/>
        <v>-338914021.53200424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-11714690.91</v>
      </c>
      <c r="J55" s="51">
        <f t="shared" si="7"/>
        <v>-25757867.899999995</v>
      </c>
      <c r="K55" s="51">
        <f t="shared" si="7"/>
        <v>20930406.640000001</v>
      </c>
      <c r="L55" s="51">
        <f t="shared" si="7"/>
        <v>-18668693</v>
      </c>
      <c r="M55" s="51">
        <f t="shared" si="7"/>
        <v>-9296268.0381256826</v>
      </c>
      <c r="N55" s="111">
        <f t="shared" si="7"/>
        <v>12181283.630129933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v>18909493</v>
      </c>
      <c r="D56" s="45">
        <f>C57</f>
        <v>37409840.097995766</v>
      </c>
      <c r="E56" s="45">
        <f t="shared" ref="E56:N56" si="8">D57</f>
        <v>31938606.607995763</v>
      </c>
      <c r="F56" s="45">
        <f t="shared" si="8"/>
        <v>19661382.647995763</v>
      </c>
      <c r="G56" s="45">
        <f t="shared" si="8"/>
        <v>5957429.7579957619</v>
      </c>
      <c r="H56" s="45">
        <f t="shared" si="8"/>
        <v>66060558.437995754</v>
      </c>
      <c r="I56" s="45">
        <f t="shared" si="8"/>
        <v>51235322.577995755</v>
      </c>
      <c r="J56" s="45">
        <f t="shared" si="8"/>
        <v>39520631.667995751</v>
      </c>
      <c r="K56" s="45">
        <f t="shared" si="8"/>
        <v>13762763.767995756</v>
      </c>
      <c r="L56" s="45">
        <f t="shared" si="8"/>
        <v>34693170.40799576</v>
      </c>
      <c r="M56" s="45">
        <f t="shared" si="8"/>
        <v>16024477.40799576</v>
      </c>
      <c r="N56" s="109">
        <f t="shared" si="8"/>
        <v>6728209.3698700778</v>
      </c>
      <c r="O56" s="47">
        <f>C56</f>
        <v>18909493</v>
      </c>
      <c r="P56" s="45">
        <f>O57</f>
        <v>18909493</v>
      </c>
      <c r="Q56" s="145">
        <f>P57</f>
        <v>18909493</v>
      </c>
    </row>
    <row r="57" spans="1:17" ht="12.75" customHeight="1" x14ac:dyDescent="0.25">
      <c r="A57" s="324" t="s">
        <v>816</v>
      </c>
      <c r="B57" s="177"/>
      <c r="C57" s="302">
        <f>C55+C56</f>
        <v>37409840.097995766</v>
      </c>
      <c r="D57" s="116">
        <f>D55+D56</f>
        <v>31938606.607995763</v>
      </c>
      <c r="E57" s="116">
        <f t="shared" ref="E57:N57" si="9">E55+E56</f>
        <v>19661382.647995763</v>
      </c>
      <c r="F57" s="116">
        <f t="shared" si="9"/>
        <v>5957429.7579957619</v>
      </c>
      <c r="G57" s="116">
        <f t="shared" si="9"/>
        <v>66060558.437995754</v>
      </c>
      <c r="H57" s="116">
        <f t="shared" si="9"/>
        <v>51235322.577995755</v>
      </c>
      <c r="I57" s="116">
        <f t="shared" si="9"/>
        <v>39520631.667995751</v>
      </c>
      <c r="J57" s="116">
        <f t="shared" si="9"/>
        <v>13762763.767995756</v>
      </c>
      <c r="K57" s="116">
        <f t="shared" si="9"/>
        <v>34693170.40799576</v>
      </c>
      <c r="L57" s="116">
        <f t="shared" si="9"/>
        <v>16024477.40799576</v>
      </c>
      <c r="M57" s="116">
        <f t="shared" si="9"/>
        <v>6728209.3698700778</v>
      </c>
      <c r="N57" s="320">
        <f t="shared" si="9"/>
        <v>18909493.000000011</v>
      </c>
      <c r="O57" s="117">
        <f>O55+O56</f>
        <v>18909493</v>
      </c>
      <c r="P57" s="116">
        <f>P55+P56</f>
        <v>18909493</v>
      </c>
      <c r="Q57" s="191">
        <f>Q55+Q56</f>
        <v>18909493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13924668.91</v>
      </c>
      <c r="J66" s="86">
        <f t="shared" si="10"/>
        <v>29890413.989999998</v>
      </c>
      <c r="K66" s="86">
        <f t="shared" si="10"/>
        <v>23606952.530000001</v>
      </c>
      <c r="L66" s="86">
        <f t="shared" si="10"/>
        <v>21203332</v>
      </c>
      <c r="M66" s="86"/>
      <c r="N66" s="86">
        <f>N47+N65</f>
        <v>-289449343.00200421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-11714690.91</v>
      </c>
      <c r="J67" s="86">
        <f t="shared" si="11"/>
        <v>-25757867.899999995</v>
      </c>
      <c r="K67" s="86">
        <f t="shared" si="11"/>
        <v>20930406.640000001</v>
      </c>
      <c r="L67" s="86">
        <f t="shared" si="11"/>
        <v>-18668693</v>
      </c>
      <c r="M67" s="86">
        <f>M55-M65</f>
        <v>-9296268.0381256826</v>
      </c>
      <c r="N67" s="86">
        <f>N55-N65</f>
        <v>12181283.630129933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4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"&amp;S71P&amp; " - "&amp;Head57</f>
        <v>NW385 Ramotshere Moiloa - NOT REQUIRED - municipality does not have entities or this is the parent municipality's budget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4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"&amp;S71Q&amp; " - "&amp;Head57</f>
        <v>NW385 Ramotshere Moiloa - NOT REQUIRED - municipality does not have entities or this is the parent municipality's budget - M11 May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9" t="str">
        <f>muni&amp; " - "&amp;S71R&amp; " - "&amp;Head57</f>
        <v>NW385 Ramotshere Moiloa - Supporting Table SC12 Monthly Budget Statement - capital expenditure trend - M11 May</v>
      </c>
      <c r="B1" s="999"/>
      <c r="C1" s="999"/>
      <c r="D1" s="999"/>
      <c r="E1" s="999"/>
      <c r="F1" s="999"/>
      <c r="G1" s="999"/>
      <c r="H1" s="999"/>
      <c r="I1" s="999"/>
      <c r="J1" s="999"/>
    </row>
    <row r="2" spans="1:10" x14ac:dyDescent="0.25">
      <c r="A2" s="988" t="s">
        <v>1048</v>
      </c>
      <c r="B2" s="140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38.25" x14ac:dyDescent="0.25">
      <c r="A3" s="989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>
        <v>7648776</v>
      </c>
      <c r="F13" s="411">
        <f t="shared" si="3"/>
        <v>47652521</v>
      </c>
      <c r="G13" s="411">
        <f t="shared" si="4"/>
        <v>70468682.080640003</v>
      </c>
      <c r="H13" s="45">
        <f t="shared" si="0"/>
        <v>22816161.080640003</v>
      </c>
      <c r="I13" s="125">
        <f t="shared" si="1"/>
        <v>0.32377732074697524</v>
      </c>
      <c r="J13" s="684">
        <f t="shared" si="2"/>
        <v>0.45081511950201664</v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>
        <v>32938</v>
      </c>
      <c r="F14" s="411">
        <f t="shared" si="3"/>
        <v>47685459</v>
      </c>
      <c r="G14" s="411">
        <f t="shared" si="4"/>
        <v>79277267.340719998</v>
      </c>
      <c r="H14" s="45">
        <f t="shared" si="0"/>
        <v>31591808.340719998</v>
      </c>
      <c r="I14" s="125">
        <f t="shared" si="1"/>
        <v>0.39849769549881009</v>
      </c>
      <c r="J14" s="684">
        <f t="shared" si="2"/>
        <v>0.45112672837589252</v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>
        <v>2048835</v>
      </c>
      <c r="F15" s="411">
        <f t="shared" si="3"/>
        <v>49734294</v>
      </c>
      <c r="G15" s="411">
        <f t="shared" si="4"/>
        <v>88085852.600799993</v>
      </c>
      <c r="H15" s="45">
        <f t="shared" si="0"/>
        <v>38351558.600799993</v>
      </c>
      <c r="I15" s="125">
        <f t="shared" si="1"/>
        <v>0.43538840197877232</v>
      </c>
      <c r="J15" s="685">
        <f t="shared" si="2"/>
        <v>0.47050966501768982</v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>
        <v>4086955.5299999993</v>
      </c>
      <c r="F16" s="411">
        <f t="shared" si="3"/>
        <v>53821249.530000001</v>
      </c>
      <c r="G16" s="411">
        <f t="shared" si="4"/>
        <v>96894437.860879987</v>
      </c>
      <c r="H16" s="45">
        <f t="shared" si="0"/>
        <v>43073188.330879986</v>
      </c>
      <c r="I16" s="125">
        <f t="shared" si="1"/>
        <v>0.44453726428264145</v>
      </c>
      <c r="J16" s="685">
        <f t="shared" si="2"/>
        <v>0.50917417440757873</v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53821249.530000001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50" t="s">
        <v>789</v>
      </c>
      <c r="B1" s="951"/>
      <c r="C1" s="951"/>
      <c r="D1" s="952"/>
    </row>
    <row r="2" spans="1:4" x14ac:dyDescent="0.2">
      <c r="A2" s="735" t="s">
        <v>1069</v>
      </c>
      <c r="B2" s="736" t="str">
        <f>HLOOKUP(MTREF,Headings,2)</f>
        <v>2014/15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2015/16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2015/16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2015/16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2015/16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2016/17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2017/18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2015/16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M11 May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5" t="s">
        <v>902</v>
      </c>
      <c r="B72" s="956"/>
      <c r="C72" s="956"/>
      <c r="D72" s="957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3" t="s">
        <v>948</v>
      </c>
      <c r="B76" s="954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2015/16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2015/16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6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"&amp;S71Sa&amp; " - "&amp;Head57</f>
        <v>NW385 Ramotshere Moiloa - Supporting Table SC13a Monthly Budget Statement - capital expenditure on new assets by asset class - M11 May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47470032</v>
      </c>
      <c r="D7" s="612">
        <f t="shared" si="0"/>
        <v>99679795.768000007</v>
      </c>
      <c r="E7" s="103">
        <f t="shared" si="0"/>
        <v>61670795.767999999</v>
      </c>
      <c r="F7" s="103">
        <f t="shared" si="0"/>
        <v>3384451</v>
      </c>
      <c r="G7" s="103">
        <f t="shared" si="0"/>
        <v>49896988</v>
      </c>
      <c r="H7" s="103">
        <f t="shared" si="0"/>
        <v>66453197.178666666</v>
      </c>
      <c r="I7" s="102">
        <f t="shared" ref="I7:I76" si="1">H7-G7</f>
        <v>16556209.178666666</v>
      </c>
      <c r="J7" s="588">
        <f t="shared" ref="J7:J76" si="2">IF(I7=0,"",I7/H7)</f>
        <v>0.24914089737704406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38926283</v>
      </c>
      <c r="D8" s="619">
        <f t="shared" si="3"/>
        <v>79545000</v>
      </c>
      <c r="E8" s="618">
        <f t="shared" si="3"/>
        <v>41536000</v>
      </c>
      <c r="F8" s="618">
        <f t="shared" si="3"/>
        <v>1335385</v>
      </c>
      <c r="G8" s="618">
        <f t="shared" si="3"/>
        <v>28661764</v>
      </c>
      <c r="H8" s="618">
        <f t="shared" si="3"/>
        <v>53030000</v>
      </c>
      <c r="I8" s="259">
        <f t="shared" si="1"/>
        <v>24368236</v>
      </c>
      <c r="J8" s="584">
        <f t="shared" si="2"/>
        <v>0.45951793324533285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>
        <v>38926283</v>
      </c>
      <c r="D9" s="759">
        <v>79545000</v>
      </c>
      <c r="E9" s="747">
        <v>41536000</v>
      </c>
      <c r="F9" s="747">
        <v>1335385</v>
      </c>
      <c r="G9" s="747">
        <v>28661764</v>
      </c>
      <c r="H9" s="747">
        <f>D9/12*8</f>
        <v>53030000</v>
      </c>
      <c r="I9" s="259">
        <f t="shared" si="1"/>
        <v>24368236</v>
      </c>
      <c r="J9" s="584">
        <f t="shared" si="2"/>
        <v>0.45951793324533285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16000000</v>
      </c>
      <c r="F11" s="411">
        <f t="shared" si="4"/>
        <v>687450</v>
      </c>
      <c r="G11" s="411">
        <f t="shared" si="4"/>
        <v>15048046</v>
      </c>
      <c r="H11" s="411">
        <f t="shared" si="4"/>
        <v>10666666.666666666</v>
      </c>
      <c r="I11" s="259">
        <f t="shared" si="1"/>
        <v>-4381379.333333334</v>
      </c>
      <c r="J11" s="584">
        <f t="shared" si="2"/>
        <v>-0.41075431250000011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>
        <v>16000000</v>
      </c>
      <c r="F13" s="747">
        <v>687450</v>
      </c>
      <c r="G13" s="747">
        <f>8610136+F13+5750460</f>
        <v>15048046</v>
      </c>
      <c r="H13" s="747">
        <f>D13/12*8</f>
        <v>10666666.666666666</v>
      </c>
      <c r="I13" s="259">
        <f t="shared" si="1"/>
        <v>-4381379.333333334</v>
      </c>
      <c r="J13" s="584">
        <f t="shared" si="2"/>
        <v>-0.41075431250000011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3500000</v>
      </c>
      <c r="F15" s="411">
        <f t="shared" si="5"/>
        <v>1361616</v>
      </c>
      <c r="G15" s="411">
        <f t="shared" si="5"/>
        <v>5590994</v>
      </c>
      <c r="H15" s="411">
        <f t="shared" si="5"/>
        <v>2333333.3333333335</v>
      </c>
      <c r="I15" s="259">
        <f t="shared" si="1"/>
        <v>-3257660.6666666665</v>
      </c>
      <c r="J15" s="584">
        <f t="shared" si="2"/>
        <v>-1.3961402857142855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>
        <v>3500000</v>
      </c>
      <c r="F17" s="747">
        <v>1361616</v>
      </c>
      <c r="G17" s="747">
        <v>5590994</v>
      </c>
      <c r="H17" s="747">
        <f>D17/12*8</f>
        <v>2333333.3333333335</v>
      </c>
      <c r="I17" s="259">
        <f t="shared" si="1"/>
        <v>-3257660.6666666665</v>
      </c>
      <c r="J17" s="584">
        <f t="shared" si="2"/>
        <v>-1.3961402857142855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8543749</v>
      </c>
      <c r="D22" s="659">
        <f t="shared" si="7"/>
        <v>634795.76800000004</v>
      </c>
      <c r="E22" s="411">
        <f t="shared" si="7"/>
        <v>634795.76800000004</v>
      </c>
      <c r="F22" s="411">
        <f t="shared" si="7"/>
        <v>0</v>
      </c>
      <c r="G22" s="411">
        <f t="shared" si="7"/>
        <v>596184</v>
      </c>
      <c r="H22" s="411">
        <f t="shared" si="7"/>
        <v>423197.17866666667</v>
      </c>
      <c r="I22" s="259">
        <f t="shared" si="1"/>
        <v>-172986.82133333333</v>
      </c>
      <c r="J22" s="584">
        <f t="shared" si="2"/>
        <v>-0.40876175469399156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>
        <v>8543749</v>
      </c>
      <c r="D23" s="759">
        <v>634795.76800000004</v>
      </c>
      <c r="E23" s="747">
        <v>634795.76800000004</v>
      </c>
      <c r="F23" s="747"/>
      <c r="G23" s="747">
        <v>596184</v>
      </c>
      <c r="H23" s="747">
        <f>D23/12*8</f>
        <v>423197.17866666667</v>
      </c>
      <c r="I23" s="259">
        <f t="shared" si="1"/>
        <v>-172986.82133333333</v>
      </c>
      <c r="J23" s="584">
        <f t="shared" si="2"/>
        <v>-0.40876175469399156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2410327.3529599998</v>
      </c>
      <c r="F28" s="587">
        <f t="shared" si="8"/>
        <v>0</v>
      </c>
      <c r="G28" s="587">
        <f t="shared" si="8"/>
        <v>1693172</v>
      </c>
      <c r="H28" s="587">
        <f t="shared" si="8"/>
        <v>2582151.5686399997</v>
      </c>
      <c r="I28" s="587">
        <f t="shared" si="1"/>
        <v>888979.56863999972</v>
      </c>
      <c r="J28" s="588">
        <f t="shared" si="2"/>
        <v>0.34427861611091198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>
        <v>2410327.3529599998</v>
      </c>
      <c r="F29" s="747">
        <v>0</v>
      </c>
      <c r="G29" s="747">
        <f>202711+F29+894277</f>
        <v>1096988</v>
      </c>
      <c r="H29" s="747">
        <f>D29/12*8</f>
        <v>1606884.9019733332</v>
      </c>
      <c r="I29" s="45">
        <f t="shared" si="1"/>
        <v>509896.90197333321</v>
      </c>
      <c r="J29" s="125">
        <f t="shared" si="2"/>
        <v>0.31732011505438562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>
        <v>596184</v>
      </c>
      <c r="H36" s="747">
        <f>D36/12*8</f>
        <v>975266.66666666663</v>
      </c>
      <c r="I36" s="45">
        <f t="shared" si="1"/>
        <v>379082.66666666663</v>
      </c>
      <c r="J36" s="125">
        <f t="shared" si="2"/>
        <v>0.38869642490942646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262880</v>
      </c>
      <c r="D50" s="586">
        <f t="shared" si="11"/>
        <v>2150000</v>
      </c>
      <c r="E50" s="587">
        <f t="shared" si="11"/>
        <v>3612638</v>
      </c>
      <c r="F50" s="587">
        <f t="shared" si="11"/>
        <v>317174</v>
      </c>
      <c r="G50" s="587">
        <f t="shared" si="11"/>
        <v>1812820</v>
      </c>
      <c r="H50" s="587">
        <f t="shared" si="11"/>
        <v>1433333.3333333333</v>
      </c>
      <c r="I50" s="587">
        <f t="shared" si="1"/>
        <v>-379486.66666666674</v>
      </c>
      <c r="J50" s="588">
        <f t="shared" si="2"/>
        <v>-0.26475813953488381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>
        <v>262880</v>
      </c>
      <c r="D53" s="767"/>
      <c r="E53" s="747">
        <v>1462900</v>
      </c>
      <c r="F53" s="747">
        <v>26000</v>
      </c>
      <c r="G53" s="747">
        <f>F53+596184</f>
        <v>622184</v>
      </c>
      <c r="H53" s="747"/>
      <c r="I53" s="45">
        <f t="shared" si="1"/>
        <v>-622184</v>
      </c>
      <c r="J53" s="125" t="e">
        <f t="shared" si="2"/>
        <v>#DIV/0!</v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>
        <f>2150000-262</f>
        <v>2149738</v>
      </c>
      <c r="F58" s="747">
        <v>291174</v>
      </c>
      <c r="G58" s="747">
        <f>296359+894277</f>
        <v>1190636</v>
      </c>
      <c r="H58" s="747">
        <f>D58/12*8</f>
        <v>1433333.3333333333</v>
      </c>
      <c r="I58" s="45">
        <f t="shared" si="1"/>
        <v>242697.33333333326</v>
      </c>
      <c r="J58" s="125">
        <f t="shared" si="2"/>
        <v>0.16932372093023251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47732912</v>
      </c>
      <c r="D76" s="272">
        <f t="shared" si="16"/>
        <v>105703023.12096001</v>
      </c>
      <c r="E76" s="56">
        <f t="shared" si="16"/>
        <v>67693761.120959997</v>
      </c>
      <c r="F76" s="56">
        <f t="shared" si="16"/>
        <v>3701625</v>
      </c>
      <c r="G76" s="56">
        <f t="shared" si="16"/>
        <v>53402980</v>
      </c>
      <c r="H76" s="56">
        <f t="shared" si="16"/>
        <v>70468682.080639988</v>
      </c>
      <c r="I76" s="56">
        <f t="shared" si="1"/>
        <v>17065702.080639988</v>
      </c>
      <c r="J76" s="293">
        <f t="shared" si="2"/>
        <v>0.24217427624247403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0</v>
      </c>
      <c r="H86" s="136">
        <f>H76+SC13b!H76-'C5-Capex'!H40</f>
        <v>-0.3333333432674408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"&amp;S71Sb&amp; " - "&amp;Head57</f>
        <v>NW385 Ramotshere Moiloa - Supporting Table SC13b Monthly Budget Statement - capital expenditure on renewal of existing assets by asset class - M11 May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0</v>
      </c>
      <c r="H86" s="136">
        <f>H76+SC13a!H76-'C5-Capex'!H40</f>
        <v>-0.3333333432674408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"&amp;S71Sc&amp; " - "&amp;Head57</f>
        <v>NW385 Ramotshere Moiloa - Supporting Table SC13c Monthly Budget Statement - expenditure on repairs and maintenance by asset class - M11 May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3906771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2250000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>
        <v>2250000</v>
      </c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1400000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>
        <v>1400000</v>
      </c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150000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>
        <v>150000</v>
      </c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106771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>
        <v>106771</v>
      </c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1101200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>
        <v>450000</v>
      </c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>
        <v>0</v>
      </c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>
        <v>0</v>
      </c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0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>
        <v>5000</v>
      </c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>
        <v>235000</v>
      </c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>
        <v>0</v>
      </c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>
        <v>0</v>
      </c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>
        <v>0</v>
      </c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>
        <v>0</v>
      </c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>
        <v>41200</v>
      </c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>
        <v>0</v>
      </c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370000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5668735</v>
      </c>
      <c r="F50" s="587">
        <f t="shared" si="11"/>
        <v>291174</v>
      </c>
      <c r="G50" s="587">
        <f t="shared" si="11"/>
        <v>3727907</v>
      </c>
      <c r="H50" s="587">
        <f t="shared" si="11"/>
        <v>8304470.3539258102</v>
      </c>
      <c r="I50" s="587">
        <f t="shared" si="1"/>
        <v>4576563.3539258102</v>
      </c>
      <c r="J50" s="588">
        <f t="shared" si="2"/>
        <v>0.55109635640547627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2850000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703735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>
        <v>250000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 t="s">
        <v>1373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>
        <v>1865000</v>
      </c>
      <c r="F62" s="747">
        <v>291174</v>
      </c>
      <c r="G62" s="747">
        <v>3727907</v>
      </c>
      <c r="H62" s="747">
        <f>(D62/12)*8</f>
        <v>8304470.3539258102</v>
      </c>
      <c r="I62" s="45">
        <f t="shared" si="1"/>
        <v>4576563.3539258102</v>
      </c>
      <c r="J62" s="125">
        <f t="shared" si="2"/>
        <v>0.55109635640547627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10676706</v>
      </c>
      <c r="F76" s="56">
        <f t="shared" si="16"/>
        <v>291174</v>
      </c>
      <c r="G76" s="56">
        <f t="shared" si="16"/>
        <v>3727907</v>
      </c>
      <c r="H76" s="56">
        <f t="shared" si="16"/>
        <v>8304470.3539258102</v>
      </c>
      <c r="I76" s="56">
        <f>H76-G76</f>
        <v>4576563.3539258102</v>
      </c>
      <c r="J76" s="293">
        <f>IF(I76=0,"",I76/H76)</f>
        <v>0.55109635640547627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7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"&amp;S71Sd&amp; " - "&amp;Head57</f>
        <v>NW385 Ramotshere Moiloa - Supporting Table SC13d Monthly Budget Statement - depreciation by asset class - M11 May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topLeftCell="A2" zoomScale="60" zoomScaleNormal="10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2015/16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2014/15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7648776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32938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2048835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4086955.5299999993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2015/16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47652521</v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>
        <f>'SC12'!F14</f>
        <v>47685459</v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>
        <f>'SC12'!F15</f>
        <v>49734294</v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>
        <f>'SC12'!F16</f>
        <v>53821249.530000001</v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2015/16</v>
      </c>
      <c r="B53" s="44">
        <f>'SC3'!C14</f>
        <v>8412634</v>
      </c>
      <c r="C53" s="44">
        <f>'SC3'!D14</f>
        <v>2570257</v>
      </c>
      <c r="D53" s="44">
        <f>'SC3'!E14</f>
        <v>2676931</v>
      </c>
      <c r="E53" s="44">
        <f>'SC3'!F14</f>
        <v>2620688</v>
      </c>
      <c r="F53" s="44">
        <f>'SC3'!G14</f>
        <v>1368257</v>
      </c>
      <c r="G53" s="44">
        <f>'SC3'!H14</f>
        <v>89336960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2014/15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2014/15</v>
      </c>
      <c r="C77" s="62" t="str">
        <f>Head2</f>
        <v>Budget Year 2015/16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5890979.75</v>
      </c>
      <c r="C78" s="44">
        <f>'SC3'!K17</f>
        <v>6073175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12004113.75</v>
      </c>
      <c r="C79" s="44">
        <f>'SC3'!K18</f>
        <v>12375375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76933168.649999991</v>
      </c>
      <c r="C80" s="44">
        <f>'SC3'!K19</f>
        <v>79312545</v>
      </c>
    </row>
    <row r="81" spans="1:3" x14ac:dyDescent="0.25">
      <c r="A81" s="62" t="str">
        <f>'SC3'!A20</f>
        <v>Other</v>
      </c>
      <c r="B81" s="44">
        <f>C81*0.97</f>
        <v>8947893.0399999991</v>
      </c>
      <c r="C81" s="44">
        <f>'SC3'!K20</f>
        <v>9224632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2014/15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2015/16</v>
      </c>
      <c r="B104" s="44">
        <f>'SC4'!K6</f>
        <v>6607513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4025</v>
      </c>
      <c r="J104" s="44">
        <f>'SC4'!K14</f>
        <v>4640128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2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A19" zoomScaleNormal="100" zoomScaleSheetLayoutView="100" workbookViewId="0"/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zoomScaleNormal="100" zoomScaleSheetLayoutView="100" workbookViewId="0"/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58"/>
      <c r="D8" s="958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1372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59"/>
      <c r="D11" s="96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61"/>
      <c r="D13" s="961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62" t="s">
        <v>446</v>
      </c>
      <c r="B14" s="963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64" t="s">
        <v>457</v>
      </c>
      <c r="B30" s="965"/>
      <c r="C30" s="966"/>
      <c r="D30" s="967"/>
      <c r="P30" s="846"/>
    </row>
    <row r="31" spans="1:16" ht="13.5" customHeight="1" thickTop="1" x14ac:dyDescent="0.2">
      <c r="A31" s="883" t="s">
        <v>458</v>
      </c>
      <c r="B31" s="884"/>
      <c r="C31" s="968" t="s">
        <v>459</v>
      </c>
      <c r="D31" s="969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70" t="s">
        <v>463</v>
      </c>
      <c r="B38" s="971"/>
      <c r="C38" s="970" t="s">
        <v>464</v>
      </c>
      <c r="D38" s="971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70" t="s">
        <v>465</v>
      </c>
      <c r="B45" s="971"/>
      <c r="C45" s="970" t="s">
        <v>466</v>
      </c>
      <c r="D45" s="971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72" t="s">
        <v>467</v>
      </c>
      <c r="B52" s="973"/>
      <c r="C52" s="974"/>
      <c r="D52" s="975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70" t="s">
        <v>469</v>
      </c>
      <c r="D53" s="971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70" t="s">
        <v>471</v>
      </c>
      <c r="D60" s="971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70" t="s">
        <v>472</v>
      </c>
      <c r="B67" s="971"/>
      <c r="C67" s="978"/>
      <c r="D67" s="979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70" t="s">
        <v>472</v>
      </c>
      <c r="B73" s="971"/>
      <c r="C73" s="976"/>
      <c r="D73" s="977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70" t="s">
        <v>472</v>
      </c>
      <c r="B79" s="971"/>
      <c r="C79" s="976"/>
      <c r="D79" s="977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A79:B79"/>
    <mergeCell ref="C79:D79"/>
    <mergeCell ref="C53:D53"/>
    <mergeCell ref="C60:D60"/>
    <mergeCell ref="A67:B67"/>
    <mergeCell ref="C67:D67"/>
    <mergeCell ref="A73:B73"/>
    <mergeCell ref="C73:D73"/>
    <mergeCell ref="C31:D31"/>
    <mergeCell ref="A38:B38"/>
    <mergeCell ref="C38:D38"/>
    <mergeCell ref="A45:B45"/>
    <mergeCell ref="C45:D45"/>
    <mergeCell ref="A52:B52"/>
    <mergeCell ref="C52:D52"/>
    <mergeCell ref="C8:D8"/>
    <mergeCell ref="C11:D11"/>
    <mergeCell ref="C13:D13"/>
    <mergeCell ref="A14:B14"/>
    <mergeCell ref="A30:B30"/>
    <mergeCell ref="C30:D30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M11 May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81" t="str">
        <f>desc</f>
        <v>Description</v>
      </c>
      <c r="B2" s="159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25.5" x14ac:dyDescent="0.25">
      <c r="A3" s="982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22296631</v>
      </c>
      <c r="E6" s="411">
        <f>SUM('C4-FinPerf RE'!F6:F7)</f>
        <v>1315468</v>
      </c>
      <c r="F6" s="411">
        <f>SUM('C4-FinPerf RE'!G6:G7)</f>
        <v>20358885</v>
      </c>
      <c r="G6" s="660">
        <f>SUM('C4-FinPerf RE'!H6:H7)</f>
        <v>24185390.016666599</v>
      </c>
      <c r="H6" s="411">
        <f>F6-G6</f>
        <v>-3826505.0166665986</v>
      </c>
      <c r="I6" s="601">
        <f>IF(H6=0,"",H6/G6)</f>
        <v>-0.15821555964281259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84790886</v>
      </c>
      <c r="E7" s="411">
        <f>SUM('C4-FinPerf RE'!F8:F12)</f>
        <v>7696722</v>
      </c>
      <c r="F7" s="411">
        <f>SUM('C4-FinPerf RE'!G8:G12)</f>
        <v>58470557.300000004</v>
      </c>
      <c r="G7" s="660">
        <f>SUM('C4-FinPerf RE'!H8:H12)</f>
        <v>48552694.583333336</v>
      </c>
      <c r="H7" s="411">
        <f>F7-G7</f>
        <v>9917862.7166666687</v>
      </c>
      <c r="I7" s="208">
        <f>IF(H7=0,"",H7/G7)</f>
        <v>0.20427007814456438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131771</v>
      </c>
      <c r="E8" s="411">
        <f>'C4-FinPerf RE'!F14</f>
        <v>4309</v>
      </c>
      <c r="F8" s="411">
        <f>'C4-FinPerf RE'!G14</f>
        <v>100007.32</v>
      </c>
      <c r="G8" s="660">
        <f>'C4-FinPerf RE'!H14</f>
        <v>87847.333333333328</v>
      </c>
      <c r="H8" s="411">
        <f>F8-G8</f>
        <v>12159.986666666679</v>
      </c>
      <c r="I8" s="208">
        <f>IF(H8=0,"",H8/G8)</f>
        <v>0.13842180752972974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142831000</v>
      </c>
      <c r="E9" s="411">
        <f>'C4-FinPerf RE'!F20</f>
        <v>82670</v>
      </c>
      <c r="F9" s="411">
        <f>'C4-FinPerf RE'!G20</f>
        <v>106853760</v>
      </c>
      <c r="G9" s="660">
        <f>'C4-FinPerf RE'!H20</f>
        <v>96687333.333333328</v>
      </c>
      <c r="H9" s="411">
        <f>F9-G9</f>
        <v>10166426.666666672</v>
      </c>
      <c r="I9" s="208">
        <f>IF(H9=0,"",H9/G9)</f>
        <v>0.1051474512345637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40212150.48896414</v>
      </c>
      <c r="E10" s="412">
        <f>'C4-FinPerf RE'!F13+'C4-FinPerf RE'!F15+'C4-FinPerf RE'!F16+'C4-FinPerf RE'!F17+'C4-FinPerf RE'!F18+'C4-FinPerf RE'!F19+'C4-FinPerf RE'!F21+'C4-FinPerf RE'!F22</f>
        <v>-547775</v>
      </c>
      <c r="F10" s="412">
        <f>'C4-FinPerf RE'!G13+'C4-FinPerf RE'!G15+'C4-FinPerf RE'!G16+'C4-FinPerf RE'!G17+'C4-FinPerf RE'!G18+'C4-FinPerf RE'!G19+'C4-FinPerf RE'!G21+'C4-FinPerf RE'!G22</f>
        <v>41407915.07</v>
      </c>
      <c r="G10" s="663">
        <f>'C4-FinPerf RE'!H13+'C4-FinPerf RE'!H15+'C4-FinPerf RE'!H16+'C4-FinPerf RE'!H17+'C4-FinPerf RE'!H18+'C4-FinPerf RE'!H19+'C4-FinPerf RE'!H21+'C4-FinPerf RE'!H22</f>
        <v>18142269.659309428</v>
      </c>
      <c r="H10" s="412">
        <f>F10-G10</f>
        <v>23265645.410690572</v>
      </c>
      <c r="I10" s="209">
        <f>IF(H10=0,"",H10/G10)</f>
        <v>1.2823999338336458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290262438.48896414</v>
      </c>
      <c r="E11" s="667">
        <f t="shared" si="0"/>
        <v>8551394</v>
      </c>
      <c r="F11" s="667">
        <f t="shared" si="0"/>
        <v>227191124.69</v>
      </c>
      <c r="G11" s="668">
        <f t="shared" si="0"/>
        <v>187655534.92597601</v>
      </c>
      <c r="H11" s="667">
        <f t="shared" ref="H11:H25" si="1">F11-G11</f>
        <v>39535589.764023989</v>
      </c>
      <c r="I11" s="603">
        <f t="shared" ref="I11:I25" si="2">IF(H11=0,"",H11/G11)</f>
        <v>0.21068171412913289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98964379.472879097</v>
      </c>
      <c r="E12" s="411">
        <f>'C4-FinPerf RE'!F26</f>
        <v>8817369</v>
      </c>
      <c r="F12" s="411">
        <f>'C4-FinPerf RE'!G26</f>
        <v>91847830.230000004</v>
      </c>
      <c r="G12" s="660">
        <f>'C4-FinPerf RE'!H26</f>
        <v>65976252.9819194</v>
      </c>
      <c r="H12" s="411">
        <f t="shared" si="1"/>
        <v>25871577.248080604</v>
      </c>
      <c r="I12" s="208">
        <f t="shared" si="2"/>
        <v>0.39213468602363089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11807209.180665646</v>
      </c>
      <c r="E13" s="411">
        <f>'C4-FinPerf RE'!F27</f>
        <v>593784</v>
      </c>
      <c r="F13" s="411">
        <f>'C4-FinPerf RE'!G27</f>
        <v>6059849.0300000003</v>
      </c>
      <c r="G13" s="660">
        <f>'C4-FinPerf RE'!H27</f>
        <v>7871472.7871104302</v>
      </c>
      <c r="H13" s="411">
        <f t="shared" si="1"/>
        <v>-1811623.7571104299</v>
      </c>
      <c r="I13" s="208">
        <f t="shared" si="2"/>
        <v>-0.23015054566115906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15736812</v>
      </c>
      <c r="E14" s="411">
        <f>'C4-FinPerf RE'!F29</f>
        <v>0</v>
      </c>
      <c r="F14" s="411">
        <f>'C4-FinPerf RE'!G29</f>
        <v>0</v>
      </c>
      <c r="G14" s="660">
        <f>'C4-FinPerf RE'!H29</f>
        <v>4000000</v>
      </c>
      <c r="H14" s="411">
        <f t="shared" si="1"/>
        <v>-4000000</v>
      </c>
      <c r="I14" s="208">
        <f t="shared" si="2"/>
        <v>-1</v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10284984.6954</v>
      </c>
      <c r="E15" s="411">
        <f>'C4-FinPerf RE'!F30</f>
        <v>49329</v>
      </c>
      <c r="F15" s="411">
        <f>'C4-FinPerf RE'!G30</f>
        <v>1017817.2</v>
      </c>
      <c r="G15" s="660">
        <f>'C4-FinPerf RE'!H30</f>
        <v>856656.46360000025</v>
      </c>
      <c r="H15" s="411">
        <f t="shared" si="1"/>
        <v>161160.7363999997</v>
      </c>
      <c r="I15" s="208">
        <f t="shared" si="2"/>
        <v>0.18812761386605342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50677462.332125999</v>
      </c>
      <c r="E16" s="411">
        <f>SUM('C4-FinPerf RE'!F31:F32)</f>
        <v>2853039</v>
      </c>
      <c r="F16" s="411">
        <f>SUM('C4-FinPerf RE'!G31:G32)</f>
        <v>38104686.57</v>
      </c>
      <c r="G16" s="660">
        <f>SUM('C4-FinPerf RE'!H31:H32)</f>
        <v>31242804.524754673</v>
      </c>
      <c r="H16" s="411">
        <f t="shared" si="1"/>
        <v>6861882.0452453271</v>
      </c>
      <c r="I16" s="601">
        <f t="shared" si="2"/>
        <v>0.21963079658256796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9511000</v>
      </c>
      <c r="E17" s="411">
        <f>'C4-FinPerf RE'!F34</f>
        <v>365550</v>
      </c>
      <c r="F17" s="411">
        <f>'C4-FinPerf RE'!G34</f>
        <v>2658030</v>
      </c>
      <c r="G17" s="660">
        <f>'C4-FinPerf RE'!H34</f>
        <v>6340666.666666667</v>
      </c>
      <c r="H17" s="411">
        <f t="shared" si="1"/>
        <v>-3682636.666666667</v>
      </c>
      <c r="I17" s="208">
        <f t="shared" si="2"/>
        <v>-0.58079644622016613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86308626.256927341</v>
      </c>
      <c r="E18" s="411">
        <f>'C4-FinPerf RE'!F37-SUM('C1-Sum'!E12:E17)</f>
        <v>2848367.83</v>
      </c>
      <c r="F18" s="411">
        <f>'C4-FinPerf RE'!G37-SUM('C1-Sum'!F12:F17)</f>
        <v>43230382.189999998</v>
      </c>
      <c r="G18" s="660">
        <f>'C4-FinPerf RE'!H37-SUM('C1-Sum'!G12:G17)</f>
        <v>58277021.504618168</v>
      </c>
      <c r="H18" s="411">
        <f t="shared" si="1"/>
        <v>-15046639.31461817</v>
      </c>
      <c r="I18" s="208">
        <f t="shared" si="2"/>
        <v>-0.2581916324159737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283290473.93799806</v>
      </c>
      <c r="E19" s="672">
        <f t="shared" si="3"/>
        <v>15527438.83</v>
      </c>
      <c r="F19" s="672">
        <f t="shared" si="3"/>
        <v>182918595.22</v>
      </c>
      <c r="G19" s="673">
        <f t="shared" si="3"/>
        <v>174564874.92866933</v>
      </c>
      <c r="H19" s="672">
        <f t="shared" si="1"/>
        <v>8353720.2913306653</v>
      </c>
      <c r="I19" s="385">
        <f t="shared" si="2"/>
        <v>4.785453141557923E-2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6971964.550966084</v>
      </c>
      <c r="E20" s="647">
        <f t="shared" si="4"/>
        <v>-6976044.8300000001</v>
      </c>
      <c r="F20" s="647">
        <f t="shared" si="4"/>
        <v>44272529.469999999</v>
      </c>
      <c r="G20" s="677">
        <f t="shared" si="4"/>
        <v>13090659.997306675</v>
      </c>
      <c r="H20" s="647">
        <f t="shared" si="1"/>
        <v>31181869.472693324</v>
      </c>
      <c r="I20" s="207">
        <f t="shared" si="2"/>
        <v>2.3819936870340235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60722000</v>
      </c>
      <c r="E21" s="411">
        <f>'C4-FinPerf RE'!F40</f>
        <v>0</v>
      </c>
      <c r="F21" s="411">
        <f>'C4-FinPerf RE'!G40</f>
        <v>0</v>
      </c>
      <c r="G21" s="660">
        <f>'C4-FinPerf RE'!H40</f>
        <v>53391333.333333336</v>
      </c>
      <c r="H21" s="411">
        <f t="shared" si="1"/>
        <v>-53391333.333333336</v>
      </c>
      <c r="I21" s="208">
        <f t="shared" si="2"/>
        <v>-1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67693964.550966084</v>
      </c>
      <c r="E23" s="667">
        <f t="shared" si="5"/>
        <v>-6976044.8300000001</v>
      </c>
      <c r="F23" s="667">
        <f t="shared" si="5"/>
        <v>44272529.469999999</v>
      </c>
      <c r="G23" s="668">
        <f t="shared" si="5"/>
        <v>66481993.330640011</v>
      </c>
      <c r="H23" s="667">
        <f t="shared" si="1"/>
        <v>-22209463.860640012</v>
      </c>
      <c r="I23" s="602">
        <f t="shared" si="2"/>
        <v>-0.33406735791124637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67693964.550966084</v>
      </c>
      <c r="E25" s="647">
        <f t="shared" si="6"/>
        <v>-6976044.8300000001</v>
      </c>
      <c r="F25" s="647">
        <f t="shared" si="6"/>
        <v>44272529.469999999</v>
      </c>
      <c r="G25" s="677">
        <f t="shared" si="6"/>
        <v>66481993.330640011</v>
      </c>
      <c r="H25" s="647">
        <f t="shared" si="1"/>
        <v>-22209463.860640012</v>
      </c>
      <c r="I25" s="207">
        <f t="shared" si="2"/>
        <v>-0.33406735791124637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47732912</v>
      </c>
      <c r="C28" s="671">
        <f>'C5-Capex'!D40</f>
        <v>105703023.12096</v>
      </c>
      <c r="D28" s="672">
        <f>'C5-Capex'!E40</f>
        <v>67693761.120959997</v>
      </c>
      <c r="E28" s="672">
        <f>'C5-Capex'!F40</f>
        <v>3701625</v>
      </c>
      <c r="F28" s="672">
        <f>'C5-Capex'!G40</f>
        <v>53402980</v>
      </c>
      <c r="G28" s="673">
        <f>'C5-Capex'!H40</f>
        <v>70468682.413973331</v>
      </c>
      <c r="H28" s="672">
        <f t="shared" ref="H28:H33" si="7">F28-G28</f>
        <v>-17065702.413973331</v>
      </c>
      <c r="I28" s="385">
        <f t="shared" ref="I28:I33" si="8">IF(H28=0,"",H28/G28)</f>
        <v>-0.24217427982716688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60722000</v>
      </c>
      <c r="E29" s="411">
        <f>'C5-Capex'!F70</f>
        <v>3701625</v>
      </c>
      <c r="F29" s="411">
        <f>'C5-Capex'!G70</f>
        <v>37013092</v>
      </c>
      <c r="G29" s="660">
        <f>'C5-Capex'!H70</f>
        <v>53391333.333333336</v>
      </c>
      <c r="H29" s="411">
        <f t="shared" si="7"/>
        <v>-16378241.333333336</v>
      </c>
      <c r="I29" s="601">
        <f t="shared" si="8"/>
        <v>-0.30675842521258134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6971761.0034363791</v>
      </c>
      <c r="E32" s="672">
        <f>'C5-Capex'!F73</f>
        <v>0</v>
      </c>
      <c r="F32" s="672">
        <f>'C5-Capex'!G73</f>
        <v>16389888</v>
      </c>
      <c r="G32" s="673">
        <f>'C5-Capex'!H73</f>
        <v>17078098</v>
      </c>
      <c r="H32" s="672">
        <f t="shared" si="7"/>
        <v>-688210</v>
      </c>
      <c r="I32" s="385">
        <f t="shared" si="8"/>
        <v>-4.0297813023440904E-2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67693761.003436387</v>
      </c>
      <c r="E33" s="621">
        <f>SUM(E29:E32)</f>
        <v>3701625</v>
      </c>
      <c r="F33" s="621">
        <f>SUM(F29:F32)</f>
        <v>53402980</v>
      </c>
      <c r="G33" s="622">
        <f>SUM(G29:G32)</f>
        <v>70469431.333333343</v>
      </c>
      <c r="H33" s="621">
        <f t="shared" si="7"/>
        <v>-17066451.333333343</v>
      </c>
      <c r="I33" s="604">
        <f t="shared" si="8"/>
        <v>-0.24218233367892378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202542904.00424999</v>
      </c>
      <c r="E36" s="411"/>
      <c r="F36" s="411">
        <f>'C6-FinPos'!F13</f>
        <v>189585859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540996851.21391475</v>
      </c>
      <c r="E37" s="411"/>
      <c r="F37" s="411">
        <f>'C6-FinPos'!F25</f>
        <v>618362989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111023584.97415</v>
      </c>
      <c r="E38" s="411"/>
      <c r="F38" s="411">
        <f>'C6-FinPos'!F35</f>
        <v>205294618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49203356.820000008</v>
      </c>
      <c r="E39" s="411"/>
      <c r="F39" s="411">
        <f>'C6-FinPos'!F40</f>
        <v>52704946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1037630596.7614646</v>
      </c>
      <c r="E40" s="411"/>
      <c r="F40" s="647">
        <f>'C6-FinPos'!F48</f>
        <v>549949284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59229367</v>
      </c>
      <c r="C43" s="659">
        <f>'C7-CFlow'!D18</f>
        <v>94062535.941542268</v>
      </c>
      <c r="D43" s="411">
        <f>'C7-CFlow'!E18</f>
        <v>14699440.3046</v>
      </c>
      <c r="E43" s="411">
        <f>'C7-CFlow'!F18</f>
        <v>-5209312.8950181492</v>
      </c>
      <c r="F43" s="411">
        <f>'C7-CFlow'!G18</f>
        <v>52507517.752977878</v>
      </c>
      <c r="G43" s="660">
        <f>'C7-CFlow'!H18</f>
        <v>51216275.623071134</v>
      </c>
      <c r="H43" s="411">
        <f>G43-F43</f>
        <v>-1291242.1299067438</v>
      </c>
      <c r="I43" s="208">
        <f>IF(H43=0,"",H43/G43)</f>
        <v>-2.5211558517251584E-2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-39628097</v>
      </c>
      <c r="C44" s="659">
        <f>'C7-CFlow'!D28</f>
        <v>-59132800.720959991</v>
      </c>
      <c r="D44" s="411">
        <f>'C7-CFlow'!E28</f>
        <v>-67694000</v>
      </c>
      <c r="E44" s="411">
        <f>'C7-CFlow'!F28</f>
        <v>-4086955.53</v>
      </c>
      <c r="F44" s="411">
        <f>'C7-CFlow'!G28</f>
        <v>-45781557.530000001</v>
      </c>
      <c r="G44" s="660">
        <f>'C7-CFlow'!H28</f>
        <v>-29566400.360479996</v>
      </c>
      <c r="H44" s="411">
        <f>G44-F44</f>
        <v>16215157.169520006</v>
      </c>
      <c r="I44" s="208">
        <f>IF(H44=0,"",H44/G44)</f>
        <v>-0.54843190147671939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-5285995</v>
      </c>
      <c r="C45" s="659">
        <f>'C7-CFlow'!D37</f>
        <v>-2200000</v>
      </c>
      <c r="D45" s="411">
        <f>'C7-CFlow'!E37</f>
        <v>400000</v>
      </c>
      <c r="E45" s="411">
        <f>'C7-CFlow'!F37</f>
        <v>0</v>
      </c>
      <c r="F45" s="411">
        <f>'C7-CFlow'!G37</f>
        <v>0</v>
      </c>
      <c r="G45" s="660">
        <f>'C7-CFlow'!H37</f>
        <v>-1100000</v>
      </c>
      <c r="H45" s="411">
        <f>G45-F45</f>
        <v>-1100000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18146144</v>
      </c>
      <c r="C46" s="676">
        <f>'C7-CFlow'!D41</f>
        <v>50876228.220582277</v>
      </c>
      <c r="D46" s="647">
        <f>'C7-CFlow'!E41</f>
        <v>-15936766.597404197</v>
      </c>
      <c r="E46" s="647">
        <f>'C7-CFlow'!F41</f>
        <v>0</v>
      </c>
      <c r="F46" s="647">
        <f>'C7-CFlow'!G41</f>
        <v>6725960.2229778767</v>
      </c>
      <c r="G46" s="677">
        <f>'C7-CFlow'!H41</f>
        <v>57207668.360586941</v>
      </c>
      <c r="H46" s="647">
        <f>G46-F46</f>
        <v>50481708.137609065</v>
      </c>
      <c r="I46" s="207">
        <f>IF(H46=0,"",H46/G46)</f>
        <v>0.88242904464164973</v>
      </c>
      <c r="J46" s="651">
        <f>'C7-CFlow'!K41</f>
        <v>0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8412634</v>
      </c>
      <c r="C50" s="659">
        <f>'SC3'!D14</f>
        <v>2570257</v>
      </c>
      <c r="D50" s="411">
        <f>'SC3'!E14</f>
        <v>2676931</v>
      </c>
      <c r="E50" s="411">
        <f>'SC3'!F14</f>
        <v>2620688</v>
      </c>
      <c r="F50" s="411">
        <f>'SC3'!G14</f>
        <v>1368257</v>
      </c>
      <c r="G50" s="660">
        <f>'SC3'!H14</f>
        <v>89336960</v>
      </c>
      <c r="H50" s="411">
        <f>'SC3'!I14</f>
        <v>0</v>
      </c>
      <c r="I50" s="660">
        <f>'SC3'!J14</f>
        <v>0</v>
      </c>
      <c r="J50" s="652">
        <f>'SC3'!K14</f>
        <v>106985727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5566200</v>
      </c>
      <c r="C52" s="659">
        <f>'SC4'!D15</f>
        <v>4659754</v>
      </c>
      <c r="D52" s="411">
        <f>'SC4'!E15</f>
        <v>496572</v>
      </c>
      <c r="E52" s="411">
        <f>'SC4'!F15</f>
        <v>102271</v>
      </c>
      <c r="F52" s="411">
        <f>'SC4'!G15</f>
        <v>-40692</v>
      </c>
      <c r="G52" s="660">
        <f>'SC4'!H15</f>
        <v>-159158</v>
      </c>
      <c r="H52" s="411">
        <f>'SC4'!I15</f>
        <v>626719</v>
      </c>
      <c r="I52" s="660">
        <f>'SC4'!J15</f>
        <v>0</v>
      </c>
      <c r="J52" s="652">
        <f>'SC4'!K15</f>
        <v>11251666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80"/>
      <c r="B55" s="980"/>
      <c r="C55" s="980"/>
      <c r="D55" s="980"/>
      <c r="E55" s="980"/>
      <c r="F55" s="980"/>
      <c r="G55" s="980"/>
      <c r="H55" s="980"/>
      <c r="I55" s="980"/>
      <c r="J55" s="980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C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90" t="str">
        <f>muni&amp; " - "&amp;S71A&amp; " - "&amp;date</f>
        <v>NW385 Ramotshere Moiloa - Table C2 Monthly Budget Statement - Financial Performance (standard classification) - M11 May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8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120356985.43000001</v>
      </c>
      <c r="F6" s="647">
        <f t="shared" si="0"/>
        <v>490404</v>
      </c>
      <c r="G6" s="647">
        <f t="shared" si="0"/>
        <v>93411674.430000007</v>
      </c>
      <c r="H6" s="647">
        <f t="shared" si="0"/>
        <v>114755690.43583332</v>
      </c>
      <c r="I6" s="48">
        <f t="shared" ref="I6:I13" si="1">G6-H6</f>
        <v>-21344016.005833313</v>
      </c>
      <c r="J6" s="201">
        <f>IF(I6=0,"",I6/H6)</f>
        <v>-0.18599527330427254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45492491.390000001</v>
      </c>
      <c r="F7" s="411">
        <f>'C2C'!F7</f>
        <v>0</v>
      </c>
      <c r="G7" s="411">
        <f>'C2C'!G7</f>
        <v>19402555.539999999</v>
      </c>
      <c r="H7" s="411">
        <f>'C2C'!H7</f>
        <v>41701450.44083333</v>
      </c>
      <c r="I7" s="48">
        <f t="shared" si="1"/>
        <v>-22298894.900833331</v>
      </c>
      <c r="J7" s="201">
        <f t="shared" ref="J7:J26" si="2">IF(I7=0,"",I7/H7)</f>
        <v>-0.53472708179470529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53041494</v>
      </c>
      <c r="F8" s="682">
        <f>'C2C'!F10</f>
        <v>483855</v>
      </c>
      <c r="G8" s="682">
        <f>'C2C'!G10</f>
        <v>59285740.890000001</v>
      </c>
      <c r="H8" s="682">
        <f>'C2C'!H10</f>
        <v>53049823.291666664</v>
      </c>
      <c r="I8" s="48">
        <f t="shared" si="1"/>
        <v>6235917.5983333364</v>
      </c>
      <c r="J8" s="201">
        <f t="shared" si="2"/>
        <v>0.11754831988880358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21823000.039999999</v>
      </c>
      <c r="F9" s="411">
        <f>'C2C'!F11</f>
        <v>6549</v>
      </c>
      <c r="G9" s="411">
        <f>'C2C'!G11</f>
        <v>14723378</v>
      </c>
      <c r="H9" s="411">
        <f>'C2C'!H11</f>
        <v>20004416.703333333</v>
      </c>
      <c r="I9" s="48">
        <f t="shared" si="1"/>
        <v>-5281038.7033333331</v>
      </c>
      <c r="J9" s="201">
        <f t="shared" si="2"/>
        <v>-0.26399363608804222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21696071.32</v>
      </c>
      <c r="F10" s="647">
        <f t="shared" si="3"/>
        <v>0</v>
      </c>
      <c r="G10" s="647">
        <f t="shared" si="3"/>
        <v>19022085.75</v>
      </c>
      <c r="H10" s="647">
        <f t="shared" si="3"/>
        <v>19888065.376666665</v>
      </c>
      <c r="I10" s="48">
        <f t="shared" si="1"/>
        <v>-865979.62666666508</v>
      </c>
      <c r="J10" s="201">
        <f t="shared" si="2"/>
        <v>-4.354267799635559E-2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18694071.32</v>
      </c>
      <c r="F11" s="411">
        <f>'C2C'!F17</f>
        <v>0</v>
      </c>
      <c r="G11" s="411">
        <f>'C2C'!G17</f>
        <v>17771144.600000001</v>
      </c>
      <c r="H11" s="411">
        <f>'C2C'!H17</f>
        <v>17136232.043333333</v>
      </c>
      <c r="I11" s="48">
        <f t="shared" si="1"/>
        <v>634912.5566666685</v>
      </c>
      <c r="J11" s="201">
        <f t="shared" si="2"/>
        <v>3.7050884643784594E-2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3002000</v>
      </c>
      <c r="F12" s="411">
        <f>'C2C'!F26</f>
        <v>0</v>
      </c>
      <c r="G12" s="411">
        <f>'C2C'!G26</f>
        <v>1250941.1499999999</v>
      </c>
      <c r="H12" s="411">
        <f>'C2C'!H26</f>
        <v>2751833.333333333</v>
      </c>
      <c r="I12" s="48">
        <f t="shared" si="1"/>
        <v>-1500892.1833333331</v>
      </c>
      <c r="J12" s="201">
        <f t="shared" si="2"/>
        <v>-0.5454153655138998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99521818.640000001</v>
      </c>
      <c r="F16" s="647">
        <f t="shared" si="6"/>
        <v>364268</v>
      </c>
      <c r="G16" s="647">
        <f t="shared" si="6"/>
        <v>37928628.82</v>
      </c>
      <c r="H16" s="647">
        <f t="shared" si="6"/>
        <v>91228333.75333333</v>
      </c>
      <c r="I16" s="48">
        <f t="shared" si="4"/>
        <v>-53299704.93333333</v>
      </c>
      <c r="J16" s="201">
        <f t="shared" si="5"/>
        <v>-0.58424507760327093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60895525.600000001</v>
      </c>
      <c r="F17" s="411">
        <f>'C2C'!F39</f>
        <v>0</v>
      </c>
      <c r="G17" s="411">
        <f>'C2C'!G39</f>
        <v>24737833.630000003</v>
      </c>
      <c r="H17" s="411">
        <f>'C2C'!H39</f>
        <v>55820898.466666661</v>
      </c>
      <c r="I17" s="48">
        <f t="shared" si="4"/>
        <v>-31083064.836666659</v>
      </c>
      <c r="J17" s="201">
        <f t="shared" si="5"/>
        <v>-0.55683562412073762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38626293.039999999</v>
      </c>
      <c r="F18" s="411">
        <f>'C2C'!F43</f>
        <v>364268</v>
      </c>
      <c r="G18" s="411">
        <f>'C2C'!G43</f>
        <v>13190795.189999999</v>
      </c>
      <c r="H18" s="411">
        <f>'C2C'!H43</f>
        <v>35407435.286666669</v>
      </c>
      <c r="I18" s="48">
        <f t="shared" si="4"/>
        <v>-22216640.096666671</v>
      </c>
      <c r="J18" s="201">
        <f t="shared" si="5"/>
        <v>-0.62745691453774288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109409374</v>
      </c>
      <c r="F20" s="647">
        <f t="shared" si="7"/>
        <v>7696722</v>
      </c>
      <c r="G20" s="647">
        <f t="shared" si="7"/>
        <v>76828437.120000005</v>
      </c>
      <c r="H20" s="647">
        <f t="shared" si="7"/>
        <v>100291926.16666666</v>
      </c>
      <c r="I20" s="48">
        <f t="shared" si="7"/>
        <v>-23463489.046666645</v>
      </c>
      <c r="J20" s="201">
        <f t="shared" si="2"/>
        <v>-0.23395192358430389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76810864</v>
      </c>
      <c r="F21" s="411">
        <f>'C2C'!F54</f>
        <v>5786724</v>
      </c>
      <c r="G21" s="411">
        <f>'C2C'!G54</f>
        <v>55959540.82</v>
      </c>
      <c r="H21" s="411">
        <f>'C2C'!H54</f>
        <v>70409958.666666657</v>
      </c>
      <c r="I21" s="48">
        <f>G21-H21</f>
        <v>-14450417.846666656</v>
      </c>
      <c r="J21" s="201">
        <f t="shared" si="2"/>
        <v>-0.20523258528069191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13480053</v>
      </c>
      <c r="F22" s="411">
        <f>'C2C'!F57</f>
        <v>1095904</v>
      </c>
      <c r="G22" s="411">
        <f>'C2C'!G57</f>
        <v>10174832.860000011</v>
      </c>
      <c r="H22" s="411">
        <f>'C2C'!H57</f>
        <v>12356715.25</v>
      </c>
      <c r="I22" s="48">
        <f>G22-H22</f>
        <v>-2181882.3899999894</v>
      </c>
      <c r="J22" s="201">
        <f t="shared" si="2"/>
        <v>-0.17657462730639434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4983103</v>
      </c>
      <c r="F23" s="682">
        <f>'C2C'!F60</f>
        <v>211177</v>
      </c>
      <c r="G23" s="682">
        <f>'C2C'!G60</f>
        <v>2053756.14</v>
      </c>
      <c r="H23" s="682">
        <f>'C2C'!H60</f>
        <v>4567844.416666666</v>
      </c>
      <c r="I23" s="48">
        <f>G23-H23</f>
        <v>-2514088.2766666664</v>
      </c>
      <c r="J23" s="201">
        <f t="shared" si="2"/>
        <v>-0.55038833360731987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14135354</v>
      </c>
      <c r="F24" s="411">
        <f>'C2C'!F64</f>
        <v>602917</v>
      </c>
      <c r="G24" s="411">
        <f>'C2C'!G64</f>
        <v>8640307.3000000007</v>
      </c>
      <c r="H24" s="411">
        <f>'C2C'!H64</f>
        <v>12957407.833333334</v>
      </c>
      <c r="I24" s="48">
        <f>G24-H24</f>
        <v>-4317100.5333333332</v>
      </c>
      <c r="J24" s="201">
        <f t="shared" si="2"/>
        <v>-0.33317624858788947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350984249.38999999</v>
      </c>
      <c r="F26" s="549">
        <f t="shared" si="8"/>
        <v>8551394</v>
      </c>
      <c r="G26" s="549">
        <f t="shared" si="8"/>
        <v>227190826.12</v>
      </c>
      <c r="H26" s="549">
        <f t="shared" si="8"/>
        <v>326164015.73249996</v>
      </c>
      <c r="I26" s="549">
        <f t="shared" si="8"/>
        <v>-98973189.612499952</v>
      </c>
      <c r="J26" s="609">
        <f t="shared" si="2"/>
        <v>-0.3034460726460757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129336127.53999999</v>
      </c>
      <c r="F29" s="647">
        <f t="shared" si="9"/>
        <v>5645455.9399999995</v>
      </c>
      <c r="G29" s="647">
        <f t="shared" si="9"/>
        <v>89175713.659999996</v>
      </c>
      <c r="H29" s="647">
        <f t="shared" si="9"/>
        <v>118558116.91166668</v>
      </c>
      <c r="I29" s="48">
        <f t="shared" ref="I29:I48" si="10">G29-H29</f>
        <v>-29382403.25166668</v>
      </c>
      <c r="J29" s="201">
        <f>IF(I29=0,"",I29/H29)</f>
        <v>-0.24783122418820497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33036075.25</v>
      </c>
      <c r="F30" s="411">
        <f>'C2C'!F76</f>
        <v>2044353.33</v>
      </c>
      <c r="G30" s="411">
        <f>'C2C'!G76</f>
        <v>28138201.140000001</v>
      </c>
      <c r="H30" s="411">
        <f>'C2C'!H76</f>
        <v>30283068.979166672</v>
      </c>
      <c r="I30" s="48">
        <f t="shared" si="10"/>
        <v>-2144867.839166671</v>
      </c>
      <c r="J30" s="201">
        <f t="shared" ref="J30:J49" si="12">IF(I30=0,"",I30/H30)</f>
        <v>-7.0827294308982991E-2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71789939.469999999</v>
      </c>
      <c r="F31" s="682">
        <f>'C2C'!F79</f>
        <v>2122290.71</v>
      </c>
      <c r="G31" s="682">
        <f>'C2C'!G79</f>
        <v>43457773.490000002</v>
      </c>
      <c r="H31" s="682">
        <f>'C2C'!H79</f>
        <v>65807444.514166668</v>
      </c>
      <c r="I31" s="48">
        <f t="shared" si="10"/>
        <v>-22349671.024166666</v>
      </c>
      <c r="J31" s="201">
        <f t="shared" si="12"/>
        <v>-0.3396222295086288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24510112.82</v>
      </c>
      <c r="F32" s="411">
        <f>'C2C'!F80</f>
        <v>1478811.9</v>
      </c>
      <c r="G32" s="411">
        <f>'C2C'!G80</f>
        <v>17579739.030000001</v>
      </c>
      <c r="H32" s="411">
        <f>'C2C'!H80</f>
        <v>22467603.418333337</v>
      </c>
      <c r="I32" s="48">
        <f t="shared" si="10"/>
        <v>-4887864.3883333355</v>
      </c>
      <c r="J32" s="201">
        <f t="shared" si="12"/>
        <v>-0.21755165859590025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25193308.800000001</v>
      </c>
      <c r="F33" s="647">
        <f t="shared" si="13"/>
        <v>1795090.0899999999</v>
      </c>
      <c r="G33" s="647">
        <f t="shared" si="13"/>
        <v>15288596.949999999</v>
      </c>
      <c r="H33" s="647">
        <f t="shared" si="13"/>
        <v>23093866.400000002</v>
      </c>
      <c r="I33" s="48">
        <f t="shared" si="10"/>
        <v>-7805269.450000003</v>
      </c>
      <c r="J33" s="201">
        <f t="shared" si="12"/>
        <v>-0.33798019416965203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21805121.800000001</v>
      </c>
      <c r="F34" s="411">
        <f>'C2C'!F86</f>
        <v>1421895.67</v>
      </c>
      <c r="G34" s="411">
        <f>'C2C'!G86</f>
        <v>11954233.83</v>
      </c>
      <c r="H34" s="411">
        <f>'C2C'!H86</f>
        <v>19988028.31666667</v>
      </c>
      <c r="I34" s="48">
        <f t="shared" si="10"/>
        <v>-8033794.4866666701</v>
      </c>
      <c r="J34" s="201">
        <f t="shared" si="12"/>
        <v>-0.40193031345507102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3388187</v>
      </c>
      <c r="F35" s="411">
        <f>'C2C'!F95</f>
        <v>373194.42</v>
      </c>
      <c r="G35" s="411">
        <f>'C2C'!G95</f>
        <v>3334363.12</v>
      </c>
      <c r="H35" s="411">
        <f>'C2C'!H95</f>
        <v>3105838.0833333335</v>
      </c>
      <c r="I35" s="48">
        <f t="shared" si="10"/>
        <v>228525.03666666662</v>
      </c>
      <c r="J35" s="201">
        <f t="shared" si="12"/>
        <v>7.3579185564433117E-2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66942388.979894966</v>
      </c>
      <c r="F39" s="647">
        <f t="shared" si="14"/>
        <v>3183172.4300000006</v>
      </c>
      <c r="G39" s="647">
        <f t="shared" si="14"/>
        <v>39786541.060000002</v>
      </c>
      <c r="H39" s="647">
        <f t="shared" si="14"/>
        <v>61363856.564903714</v>
      </c>
      <c r="I39" s="48">
        <f t="shared" si="10"/>
        <v>-21577315.504903711</v>
      </c>
      <c r="J39" s="201">
        <f t="shared" si="12"/>
        <v>-0.35162906493795221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49029837.520000003</v>
      </c>
      <c r="F40" s="411">
        <f>'C2C'!F108</f>
        <v>2202825.9400000004</v>
      </c>
      <c r="G40" s="411">
        <f>'C2C'!G108</f>
        <v>23461737.420000002</v>
      </c>
      <c r="H40" s="411">
        <f>'C2C'!H108</f>
        <v>44944017.726666667</v>
      </c>
      <c r="I40" s="48">
        <f t="shared" si="10"/>
        <v>-21482280.306666665</v>
      </c>
      <c r="J40" s="201">
        <f t="shared" si="12"/>
        <v>-0.47797863638525062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17912551.459894959</v>
      </c>
      <c r="F41" s="411">
        <f>'C2C'!F112</f>
        <v>980346.49</v>
      </c>
      <c r="G41" s="411">
        <f>'C2C'!G112</f>
        <v>16324803.639999999</v>
      </c>
      <c r="H41" s="411">
        <f>'C2C'!H112</f>
        <v>16419838.838237045</v>
      </c>
      <c r="I41" s="48">
        <f t="shared" si="10"/>
        <v>-95035.198237046599</v>
      </c>
      <c r="J41" s="201">
        <f t="shared" si="12"/>
        <v>-5.7878277109356989E-3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61817989</v>
      </c>
      <c r="F43" s="647">
        <f t="shared" si="15"/>
        <v>4903720.24</v>
      </c>
      <c r="G43" s="647">
        <f t="shared" si="15"/>
        <v>38666930.260000005</v>
      </c>
      <c r="H43" s="647">
        <f t="shared" si="15"/>
        <v>56666489.916666679</v>
      </c>
      <c r="I43" s="48">
        <f t="shared" si="15"/>
        <v>-17999559.656666674</v>
      </c>
      <c r="J43" s="201">
        <f t="shared" si="12"/>
        <v>-0.31764027881622264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51580241</v>
      </c>
      <c r="F44" s="411">
        <f>'C2C'!F123</f>
        <v>3057783.16</v>
      </c>
      <c r="G44" s="411">
        <f>'C2C'!G123</f>
        <v>20486650.489999998</v>
      </c>
      <c r="H44" s="411">
        <f>'C2C'!H123</f>
        <v>47281887.583333336</v>
      </c>
      <c r="I44" s="48">
        <f t="shared" si="10"/>
        <v>-26795237.093333337</v>
      </c>
      <c r="J44" s="201">
        <f t="shared" si="12"/>
        <v>-0.56671250795787909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-8865082</v>
      </c>
      <c r="F45" s="411">
        <f>'C2C'!F126</f>
        <v>527593.89999999991</v>
      </c>
      <c r="G45" s="411">
        <f>'C2C'!G126</f>
        <v>6328731.9000000004</v>
      </c>
      <c r="H45" s="411">
        <f>'C2C'!H126</f>
        <v>-8126325.166666667</v>
      </c>
      <c r="I45" s="48">
        <f t="shared" si="10"/>
        <v>14455057.066666666</v>
      </c>
      <c r="J45" s="201">
        <f t="shared" si="12"/>
        <v>-1.7787938299540109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12271999</v>
      </c>
      <c r="F46" s="682">
        <f>'C2C'!F129</f>
        <v>941062.67000000016</v>
      </c>
      <c r="G46" s="682">
        <f>'C2C'!G129</f>
        <v>8282213.3399999999</v>
      </c>
      <c r="H46" s="682">
        <f>'C2C'!H129</f>
        <v>11249332.416666668</v>
      </c>
      <c r="I46" s="48">
        <f t="shared" si="10"/>
        <v>-2967119.0766666681</v>
      </c>
      <c r="J46" s="201">
        <f t="shared" si="12"/>
        <v>-0.26375956961416436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6830831</v>
      </c>
      <c r="F47" s="411">
        <f>'C2C'!F133</f>
        <v>377280.51</v>
      </c>
      <c r="G47" s="411">
        <f>'C2C'!G133</f>
        <v>3569334.53</v>
      </c>
      <c r="H47" s="411">
        <f>'C2C'!H133</f>
        <v>6261595.083333333</v>
      </c>
      <c r="I47" s="48">
        <f t="shared" si="10"/>
        <v>-2692260.5533333332</v>
      </c>
      <c r="J47" s="201">
        <f t="shared" si="12"/>
        <v>-0.42996401356251862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283289814.31989497</v>
      </c>
      <c r="F49" s="549">
        <f t="shared" si="16"/>
        <v>15527438.700000001</v>
      </c>
      <c r="G49" s="549">
        <f t="shared" si="16"/>
        <v>182917781.93000001</v>
      </c>
      <c r="H49" s="549">
        <f t="shared" si="16"/>
        <v>259682329.79323706</v>
      </c>
      <c r="I49" s="549">
        <f t="shared" si="16"/>
        <v>-76764547.863237068</v>
      </c>
      <c r="J49" s="609">
        <f t="shared" si="12"/>
        <v>-0.29560943913418425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67694435.070105016</v>
      </c>
      <c r="F50" s="644">
        <f t="shared" si="17"/>
        <v>-6976044.7000000011</v>
      </c>
      <c r="G50" s="644">
        <f t="shared" si="17"/>
        <v>44273044.189999998</v>
      </c>
      <c r="H50" s="644">
        <f t="shared" si="17"/>
        <v>66481685.939262897</v>
      </c>
      <c r="I50" s="644">
        <f>I26-I49</f>
        <v>-22208641.749262884</v>
      </c>
      <c r="J50" s="648">
        <f>IF(I50=0,"",I50/H50)</f>
        <v>-0.3340565365558345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91" t="s">
        <v>172</v>
      </c>
      <c r="B55" s="991"/>
      <c r="C55" s="991"/>
      <c r="D55" s="991"/>
      <c r="E55" s="991"/>
      <c r="F55" s="991"/>
      <c r="G55" s="991"/>
      <c r="H55" s="991"/>
      <c r="I55" s="991"/>
      <c r="J55" s="991"/>
      <c r="K55" s="991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Normal="100" zoomScaleSheetLayoutView="100" workbookViewId="0">
      <pane xSplit="2" ySplit="4" topLeftCell="C136" activePane="bottomRight" state="frozen"/>
      <selection pane="topRight"/>
      <selection pane="bottomLeft"/>
      <selection pane="bottomRight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90" t="str">
        <f>muni&amp; " - "&amp;S71A&amp; " - "&amp;date</f>
        <v>NW385 Ramotshere Moiloa - Table C2 Monthly Budget Statement - Financial Performance (standard classification) - M11 May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ht="13.5" customHeight="1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120356985.43000001</v>
      </c>
      <c r="F6" s="615">
        <f t="shared" si="0"/>
        <v>490404</v>
      </c>
      <c r="G6" s="615">
        <f t="shared" si="0"/>
        <v>93411674.430000007</v>
      </c>
      <c r="H6" s="615">
        <f t="shared" si="0"/>
        <v>114755690.43583332</v>
      </c>
      <c r="I6" s="642">
        <f>G6-H6</f>
        <v>-21344016.005833313</v>
      </c>
      <c r="J6" s="643">
        <f>IF(I6=0,"",I6/H6)</f>
        <v>-0.18599527330427254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>SUM(D8:D9)</f>
        <v>44782000</v>
      </c>
      <c r="E7" s="618">
        <f>SUM(E8:E9)</f>
        <v>45492491.390000001</v>
      </c>
      <c r="F7" s="618">
        <f>F8+F9</f>
        <v>0</v>
      </c>
      <c r="G7" s="618">
        <f>G8+G9</f>
        <v>19402555.539999999</v>
      </c>
      <c r="H7" s="618">
        <f>H8+H9</f>
        <v>41701450.44083333</v>
      </c>
      <c r="I7" s="618">
        <f t="shared" ref="I7:I70" si="1">G7-H7</f>
        <v>-22298894.900833331</v>
      </c>
      <c r="J7" s="618">
        <f t="shared" ref="J7:J70" si="2">IF(I7=0,"",I7/H7)</f>
        <v>-0.53472708179470529</v>
      </c>
      <c r="K7" s="620">
        <f>SUM(K8:K9)</f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>
        <v>30179999</v>
      </c>
      <c r="F8" s="747"/>
      <c r="G8" s="747">
        <v>12575098.689999999</v>
      </c>
      <c r="H8" s="747">
        <f>E8/12*11</f>
        <v>27664999.083333332</v>
      </c>
      <c r="I8" s="411">
        <f>G8-H8</f>
        <v>-15089900.393333333</v>
      </c>
      <c r="J8" s="411">
        <f>IF(I8=0,"",I8/H8)</f>
        <v>-0.54545096306994578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>
        <v>15312492.390000001</v>
      </c>
      <c r="F9" s="747"/>
      <c r="G9" s="747">
        <v>6827456.8499999996</v>
      </c>
      <c r="H9" s="947">
        <f>E9/12*11</f>
        <v>14036451.3575</v>
      </c>
      <c r="I9" s="411">
        <f>G9-H9</f>
        <v>-7208994.5075000003</v>
      </c>
      <c r="J9" s="411">
        <f>IF(I9=0,"",I9/H9)</f>
        <v>-0.51359095856147918</v>
      </c>
      <c r="K9" s="749"/>
      <c r="L9" s="101"/>
    </row>
    <row r="10" spans="1:12" x14ac:dyDescent="0.25">
      <c r="A10" s="617" t="s">
        <v>119</v>
      </c>
      <c r="B10" s="418"/>
      <c r="C10" s="748">
        <v>130076127</v>
      </c>
      <c r="D10" s="748">
        <v>52626552.300640002</v>
      </c>
      <c r="E10" s="748">
        <v>53041494</v>
      </c>
      <c r="F10" s="748">
        <v>483855</v>
      </c>
      <c r="G10" s="748">
        <v>59285740.890000001</v>
      </c>
      <c r="H10" s="948">
        <f>E10+9086.5/12*11</f>
        <v>53049823.291666664</v>
      </c>
      <c r="I10" s="618">
        <f t="shared" si="1"/>
        <v>6235917.5983333364</v>
      </c>
      <c r="J10" s="618">
        <f t="shared" si="2"/>
        <v>0.11754831988880358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3">SUM(D12:D15)</f>
        <v>21823000</v>
      </c>
      <c r="E11" s="618">
        <f t="shared" si="3"/>
        <v>21823000.039999999</v>
      </c>
      <c r="F11" s="618">
        <f t="shared" si="3"/>
        <v>6549</v>
      </c>
      <c r="G11" s="618">
        <f t="shared" si="3"/>
        <v>14723378</v>
      </c>
      <c r="H11" s="618">
        <f t="shared" si="3"/>
        <v>20004416.703333333</v>
      </c>
      <c r="I11" s="618">
        <f t="shared" si="1"/>
        <v>-5281038.7033333331</v>
      </c>
      <c r="J11" s="618">
        <f t="shared" si="2"/>
        <v>-0.26399363608804222</v>
      </c>
      <c r="K11" s="620">
        <f t="shared" si="3"/>
        <v>0</v>
      </c>
      <c r="L11" s="101"/>
    </row>
    <row r="12" spans="1:12" x14ac:dyDescent="0.25">
      <c r="A12" s="705" t="s">
        <v>196</v>
      </c>
      <c r="B12" s="418"/>
      <c r="C12" s="747">
        <v>2179869</v>
      </c>
      <c r="D12" s="747">
        <v>12738000</v>
      </c>
      <c r="E12" s="747">
        <v>17666000</v>
      </c>
      <c r="F12" s="747">
        <v>6549</v>
      </c>
      <c r="G12" s="747">
        <f>9514378+3585000</f>
        <v>13099378</v>
      </c>
      <c r="H12" s="947">
        <f t="shared" ref="H12:H26" si="4">E12/12*11</f>
        <v>16193833.333333334</v>
      </c>
      <c r="I12" s="411">
        <f t="shared" si="1"/>
        <v>-3094455.333333334</v>
      </c>
      <c r="J12" s="411">
        <f t="shared" si="2"/>
        <v>-0.19108850076675279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>
        <v>4157000.0399999996</v>
      </c>
      <c r="F13" s="747"/>
      <c r="G13" s="747">
        <v>1624000</v>
      </c>
      <c r="H13" s="947">
        <f t="shared" si="4"/>
        <v>3810583.3699999996</v>
      </c>
      <c r="I13" s="411">
        <f t="shared" si="1"/>
        <v>-2186583.3699999996</v>
      </c>
      <c r="J13" s="411">
        <f t="shared" si="2"/>
        <v>-0.57381853582172115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947">
        <f t="shared" si="4"/>
        <v>0</v>
      </c>
      <c r="I14" s="411">
        <f t="shared" si="1"/>
        <v>0</v>
      </c>
      <c r="J14" s="411" t="str">
        <f t="shared" si="2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>
        <v>0</v>
      </c>
      <c r="H15" s="947">
        <f t="shared" si="4"/>
        <v>0</v>
      </c>
      <c r="I15" s="411">
        <f t="shared" si="1"/>
        <v>0</v>
      </c>
      <c r="J15" s="411" t="str">
        <f t="shared" si="2"/>
        <v/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5">D17+D26+D27+D33+D34</f>
        <v>31240208.12185999</v>
      </c>
      <c r="E16" s="615">
        <f t="shared" si="5"/>
        <v>21696071.32</v>
      </c>
      <c r="F16" s="615">
        <f t="shared" si="5"/>
        <v>0</v>
      </c>
      <c r="G16" s="615">
        <f t="shared" si="5"/>
        <v>19022085.75</v>
      </c>
      <c r="H16" s="615">
        <f t="shared" si="5"/>
        <v>19888065.376666665</v>
      </c>
      <c r="I16" s="615">
        <f t="shared" si="1"/>
        <v>-865979.62666666508</v>
      </c>
      <c r="J16" s="615">
        <f t="shared" si="2"/>
        <v>-4.354267799635559E-2</v>
      </c>
      <c r="K16" s="616">
        <f t="shared" si="5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6">SUM(D18:D25)</f>
        <v>28238208.12185999</v>
      </c>
      <c r="E17" s="621">
        <f t="shared" si="6"/>
        <v>18694071.32</v>
      </c>
      <c r="F17" s="621">
        <f t="shared" si="6"/>
        <v>0</v>
      </c>
      <c r="G17" s="621">
        <f t="shared" si="6"/>
        <v>17771144.600000001</v>
      </c>
      <c r="H17" s="621">
        <f t="shared" si="4"/>
        <v>17136232.043333333</v>
      </c>
      <c r="I17" s="621">
        <f t="shared" si="1"/>
        <v>634912.5566666685</v>
      </c>
      <c r="J17" s="621">
        <f t="shared" si="2"/>
        <v>3.7050884643784594E-2</v>
      </c>
      <c r="K17" s="624">
        <f t="shared" si="6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>
        <v>634529.0399999998</v>
      </c>
      <c r="F18" s="747"/>
      <c r="G18" s="747">
        <v>33107</v>
      </c>
      <c r="H18" s="947">
        <f t="shared" si="4"/>
        <v>581651.61999999988</v>
      </c>
      <c r="I18" s="411">
        <f t="shared" si="1"/>
        <v>-548544.61999999988</v>
      </c>
      <c r="J18" s="411">
        <f t="shared" si="2"/>
        <v>-0.94308104909945922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>
        <v>0</v>
      </c>
      <c r="F19" s="747"/>
      <c r="G19" s="747"/>
      <c r="H19" s="947">
        <f t="shared" si="4"/>
        <v>0</v>
      </c>
      <c r="I19" s="411">
        <f t="shared" si="1"/>
        <v>0</v>
      </c>
      <c r="J19" s="411" t="str">
        <f t="shared" si="2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>
        <v>0</v>
      </c>
      <c r="F20" s="747"/>
      <c r="G20" s="747"/>
      <c r="H20" s="947">
        <f t="shared" si="4"/>
        <v>0</v>
      </c>
      <c r="I20" s="411">
        <f t="shared" si="1"/>
        <v>0</v>
      </c>
      <c r="J20" s="411" t="str">
        <f t="shared" si="2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>
        <v>518556</v>
      </c>
      <c r="F21" s="747"/>
      <c r="G21" s="747">
        <v>258037.6</v>
      </c>
      <c r="H21" s="947">
        <f t="shared" si="4"/>
        <v>475343</v>
      </c>
      <c r="I21" s="411">
        <f t="shared" si="1"/>
        <v>-217305.4</v>
      </c>
      <c r="J21" s="411">
        <f t="shared" si="2"/>
        <v>-0.45715493864430523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>
        <v>0</v>
      </c>
      <c r="F22" s="747"/>
      <c r="G22" s="747"/>
      <c r="H22" s="947">
        <f t="shared" si="4"/>
        <v>0</v>
      </c>
      <c r="I22" s="411">
        <f t="shared" si="1"/>
        <v>0</v>
      </c>
      <c r="J22" s="411" t="str">
        <f t="shared" si="2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>
        <v>0</v>
      </c>
      <c r="F23" s="747"/>
      <c r="G23" s="747"/>
      <c r="H23" s="947">
        <f t="shared" si="4"/>
        <v>0</v>
      </c>
      <c r="I23" s="411">
        <f t="shared" si="1"/>
        <v>0</v>
      </c>
      <c r="J23" s="411" t="str">
        <f t="shared" si="2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>
        <v>17540986.280000001</v>
      </c>
      <c r="F24" s="747"/>
      <c r="G24" s="747">
        <f>1624000+4967000+10889000</f>
        <v>17480000</v>
      </c>
      <c r="H24" s="947">
        <f t="shared" si="4"/>
        <v>16079237.423333334</v>
      </c>
      <c r="I24" s="411">
        <f t="shared" si="1"/>
        <v>1400762.5766666662</v>
      </c>
      <c r="J24" s="411">
        <f t="shared" si="2"/>
        <v>8.7116231932364785E-2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0</v>
      </c>
      <c r="H25" s="947">
        <f t="shared" si="4"/>
        <v>0</v>
      </c>
      <c r="I25" s="411">
        <f t="shared" si="1"/>
        <v>0</v>
      </c>
      <c r="J25" s="411" t="str">
        <f t="shared" si="2"/>
        <v/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>
        <v>3002000</v>
      </c>
      <c r="F26" s="747"/>
      <c r="G26" s="747">
        <v>1250941.1499999999</v>
      </c>
      <c r="H26" s="947">
        <f t="shared" si="4"/>
        <v>2751833.333333333</v>
      </c>
      <c r="I26" s="411">
        <f t="shared" si="1"/>
        <v>-1500892.1833333331</v>
      </c>
      <c r="J26" s="411">
        <f t="shared" si="2"/>
        <v>-0.5454153655138998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7">SUM(D28:D32)</f>
        <v>0</v>
      </c>
      <c r="E27" s="621">
        <f t="shared" si="7"/>
        <v>0</v>
      </c>
      <c r="F27" s="621">
        <f t="shared" si="7"/>
        <v>0</v>
      </c>
      <c r="G27" s="621">
        <f t="shared" si="7"/>
        <v>0</v>
      </c>
      <c r="H27" s="621">
        <f t="shared" si="7"/>
        <v>0</v>
      </c>
      <c r="I27" s="621">
        <f t="shared" si="1"/>
        <v>0</v>
      </c>
      <c r="J27" s="621" t="str">
        <f t="shared" si="2"/>
        <v/>
      </c>
      <c r="K27" s="624">
        <f t="shared" si="7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1"/>
        <v>0</v>
      </c>
      <c r="J28" s="411" t="str">
        <f t="shared" si="2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1"/>
        <v>0</v>
      </c>
      <c r="J29" s="411" t="str">
        <f t="shared" si="2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1"/>
        <v>0</v>
      </c>
      <c r="J30" s="411" t="str">
        <f t="shared" si="2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1"/>
        <v>0</v>
      </c>
      <c r="J31" s="411" t="str">
        <f t="shared" si="2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1"/>
        <v>0</v>
      </c>
      <c r="J32" s="411" t="str">
        <f t="shared" si="2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1"/>
        <v>0</v>
      </c>
      <c r="J33" s="621" t="str">
        <f t="shared" si="2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8">SUM(D35:D37)</f>
        <v>0</v>
      </c>
      <c r="E34" s="621">
        <f t="shared" si="8"/>
        <v>0</v>
      </c>
      <c r="F34" s="621">
        <f t="shared" si="8"/>
        <v>0</v>
      </c>
      <c r="G34" s="621">
        <f t="shared" si="8"/>
        <v>0</v>
      </c>
      <c r="H34" s="621">
        <f t="shared" si="8"/>
        <v>0</v>
      </c>
      <c r="I34" s="621">
        <f t="shared" si="1"/>
        <v>0</v>
      </c>
      <c r="J34" s="621" t="str">
        <f t="shared" si="2"/>
        <v/>
      </c>
      <c r="K34" s="624">
        <f t="shared" si="8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1"/>
        <v>0</v>
      </c>
      <c r="J35" s="411" t="str">
        <f t="shared" si="2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1"/>
        <v>0</v>
      </c>
      <c r="J36" s="411" t="str">
        <f t="shared" si="2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1"/>
        <v>0</v>
      </c>
      <c r="J37" s="411" t="str">
        <f t="shared" si="2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9">D39+D43+D49</f>
        <v>115833776.59865999</v>
      </c>
      <c r="E38" s="615">
        <f t="shared" si="9"/>
        <v>99521818.640000001</v>
      </c>
      <c r="F38" s="615">
        <f t="shared" si="9"/>
        <v>364268</v>
      </c>
      <c r="G38" s="615">
        <f t="shared" si="9"/>
        <v>37928628.82</v>
      </c>
      <c r="H38" s="615">
        <f t="shared" si="9"/>
        <v>91228333.75333333</v>
      </c>
      <c r="I38" s="615">
        <f t="shared" si="1"/>
        <v>-53299704.93333333</v>
      </c>
      <c r="J38" s="615">
        <f t="shared" si="2"/>
        <v>-0.58424507760327093</v>
      </c>
      <c r="K38" s="616">
        <f t="shared" si="9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0">SUM(D40:D42)</f>
        <v>63649955.933760002</v>
      </c>
      <c r="E39" s="621">
        <f t="shared" si="10"/>
        <v>60895525.600000001</v>
      </c>
      <c r="F39" s="621">
        <f t="shared" si="10"/>
        <v>0</v>
      </c>
      <c r="G39" s="621">
        <f t="shared" si="10"/>
        <v>24737833.630000003</v>
      </c>
      <c r="H39" s="621">
        <f t="shared" si="10"/>
        <v>55820898.466666661</v>
      </c>
      <c r="I39" s="621">
        <f t="shared" si="1"/>
        <v>-31083064.836666659</v>
      </c>
      <c r="J39" s="621">
        <f t="shared" si="2"/>
        <v>-0.55683562412073762</v>
      </c>
      <c r="K39" s="624">
        <f t="shared" si="10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>
        <v>58741499.920000002</v>
      </c>
      <c r="F40" s="747"/>
      <c r="G40" s="747">
        <v>10931796</v>
      </c>
      <c r="H40" s="747">
        <f>E40/12*11</f>
        <v>53846374.926666662</v>
      </c>
      <c r="I40" s="411">
        <f t="shared" si="1"/>
        <v>-42914578.926666662</v>
      </c>
      <c r="J40" s="411">
        <f t="shared" si="2"/>
        <v>-0.79698176497697371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>
        <v>2154025.6799999997</v>
      </c>
      <c r="F41" s="747"/>
      <c r="G41" s="747">
        <v>13806037.630000001</v>
      </c>
      <c r="H41" s="747">
        <f>E41/12*11</f>
        <v>1974523.5399999998</v>
      </c>
      <c r="I41" s="411">
        <f t="shared" si="1"/>
        <v>11831514.090000002</v>
      </c>
      <c r="J41" s="411">
        <f t="shared" si="2"/>
        <v>5.9920856096757413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>E42/12*11</f>
        <v>0</v>
      </c>
      <c r="I42" s="411">
        <f t="shared" si="1"/>
        <v>0</v>
      </c>
      <c r="J42" s="411" t="str">
        <f t="shared" si="2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1">SUM(D44:D48)</f>
        <v>52183820.664899997</v>
      </c>
      <c r="E43" s="621">
        <f t="shared" si="11"/>
        <v>38626293.039999999</v>
      </c>
      <c r="F43" s="621">
        <f t="shared" si="11"/>
        <v>364268</v>
      </c>
      <c r="G43" s="621">
        <f t="shared" si="11"/>
        <v>13190795.189999999</v>
      </c>
      <c r="H43" s="621">
        <f t="shared" si="11"/>
        <v>35407435.286666669</v>
      </c>
      <c r="I43" s="621">
        <f t="shared" si="1"/>
        <v>-22216640.096666671</v>
      </c>
      <c r="J43" s="621">
        <f t="shared" si="2"/>
        <v>-0.62745691453774288</v>
      </c>
      <c r="K43" s="624">
        <f t="shared" si="11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1"/>
        <v>0</v>
      </c>
      <c r="J44" s="411" t="str">
        <f t="shared" si="2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1"/>
        <v>0</v>
      </c>
      <c r="J45" s="411" t="str">
        <f t="shared" si="2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1"/>
        <v>0</v>
      </c>
      <c r="J46" s="411" t="str">
        <f t="shared" si="2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>
        <v>28571293</v>
      </c>
      <c r="F47" s="747">
        <v>364268</v>
      </c>
      <c r="G47" s="747">
        <v>9942795.1899999995</v>
      </c>
      <c r="H47" s="747">
        <f>E47/12*11</f>
        <v>26190351.916666668</v>
      </c>
      <c r="I47" s="411">
        <f t="shared" si="1"/>
        <v>-16247556.726666668</v>
      </c>
      <c r="J47" s="411">
        <f t="shared" si="2"/>
        <v>-0.62036420046449492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>
        <v>10055000.040000001</v>
      </c>
      <c r="F48" s="747"/>
      <c r="G48" s="747">
        <v>3248000</v>
      </c>
      <c r="H48" s="747">
        <f>E48/12*11</f>
        <v>9217083.370000001</v>
      </c>
      <c r="I48" s="411">
        <f t="shared" si="1"/>
        <v>-5969083.370000001</v>
      </c>
      <c r="J48" s="411">
        <f t="shared" si="2"/>
        <v>-0.64761086890331565</v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2">SUM(D50:D52)</f>
        <v>0</v>
      </c>
      <c r="E49" s="621">
        <f t="shared" si="12"/>
        <v>0</v>
      </c>
      <c r="F49" s="621">
        <f t="shared" si="12"/>
        <v>0</v>
      </c>
      <c r="G49" s="621">
        <f t="shared" si="12"/>
        <v>0</v>
      </c>
      <c r="H49" s="621">
        <f t="shared" si="12"/>
        <v>0</v>
      </c>
      <c r="I49" s="621">
        <f t="shared" si="1"/>
        <v>0</v>
      </c>
      <c r="J49" s="621" t="str">
        <f t="shared" si="2"/>
        <v/>
      </c>
      <c r="K49" s="624">
        <f t="shared" si="12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1"/>
        <v>0</v>
      </c>
      <c r="J50" s="411" t="str">
        <f t="shared" si="2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1"/>
        <v>0</v>
      </c>
      <c r="J51" s="411" t="str">
        <f t="shared" si="2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1"/>
        <v>0</v>
      </c>
      <c r="J52" s="411" t="str">
        <f t="shared" si="2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3">D54+D57+D60+D64</f>
        <v>95903298.491644159</v>
      </c>
      <c r="E53" s="615">
        <f t="shared" si="13"/>
        <v>109409374</v>
      </c>
      <c r="F53" s="615">
        <f t="shared" si="13"/>
        <v>7696722</v>
      </c>
      <c r="G53" s="615">
        <f t="shared" si="13"/>
        <v>76828437.120000005</v>
      </c>
      <c r="H53" s="615">
        <f t="shared" si="13"/>
        <v>100291926.16666666</v>
      </c>
      <c r="I53" s="615">
        <f t="shared" si="13"/>
        <v>-23463489.046666645</v>
      </c>
      <c r="J53" s="615">
        <f t="shared" si="2"/>
        <v>-0.23395192358430389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4">SUM(D55:D56)</f>
        <v>65237273.147540003</v>
      </c>
      <c r="E54" s="621">
        <f t="shared" si="14"/>
        <v>76810864</v>
      </c>
      <c r="F54" s="621">
        <f t="shared" si="14"/>
        <v>5786724</v>
      </c>
      <c r="G54" s="621">
        <f t="shared" si="14"/>
        <v>55959540.82</v>
      </c>
      <c r="H54" s="621">
        <f t="shared" si="14"/>
        <v>70409958.666666657</v>
      </c>
      <c r="I54" s="621">
        <f t="shared" si="1"/>
        <v>-14450417.846666656</v>
      </c>
      <c r="J54" s="621">
        <f t="shared" si="2"/>
        <v>-0.20523258528069191</v>
      </c>
      <c r="K54" s="624">
        <f t="shared" si="14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>
        <v>76810864</v>
      </c>
      <c r="F55" s="747">
        <v>5786724</v>
      </c>
      <c r="G55" s="747">
        <v>55959540.82</v>
      </c>
      <c r="H55" s="747">
        <f>E55/12*11</f>
        <v>70409958.666666657</v>
      </c>
      <c r="I55" s="411">
        <f t="shared" si="1"/>
        <v>-14450417.846666656</v>
      </c>
      <c r="J55" s="411">
        <f t="shared" si="2"/>
        <v>-0.20523258528069191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1"/>
        <v>0</v>
      </c>
      <c r="J56" s="411" t="str">
        <f t="shared" si="2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5">SUM(D58:D59)</f>
        <v>11481531.527840002</v>
      </c>
      <c r="E57" s="621">
        <f t="shared" si="15"/>
        <v>13480053</v>
      </c>
      <c r="F57" s="621">
        <f t="shared" si="15"/>
        <v>1095904</v>
      </c>
      <c r="G57" s="621">
        <f t="shared" si="15"/>
        <v>10174832.860000011</v>
      </c>
      <c r="H57" s="621">
        <f t="shared" si="15"/>
        <v>12356715.25</v>
      </c>
      <c r="I57" s="621">
        <f t="shared" si="1"/>
        <v>-2181882.3899999894</v>
      </c>
      <c r="J57" s="621">
        <f t="shared" si="2"/>
        <v>-0.17657462730639434</v>
      </c>
      <c r="K57" s="624">
        <f t="shared" si="15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>
        <v>13480053</v>
      </c>
      <c r="F58" s="747">
        <v>1095904</v>
      </c>
      <c r="G58" s="747">
        <v>10174832.860000011</v>
      </c>
      <c r="H58" s="747">
        <f>E58/12*11</f>
        <v>12356715.25</v>
      </c>
      <c r="I58" s="411">
        <f t="shared" si="1"/>
        <v>-2181882.3899999894</v>
      </c>
      <c r="J58" s="411">
        <f t="shared" si="2"/>
        <v>-0.17657462730639434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1"/>
        <v>0</v>
      </c>
      <c r="J59" s="411" t="str">
        <f t="shared" si="2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6">SUM(D61:D63)</f>
        <v>5163528.8162641581</v>
      </c>
      <c r="E60" s="621">
        <f t="shared" si="16"/>
        <v>4983103</v>
      </c>
      <c r="F60" s="621">
        <f t="shared" si="16"/>
        <v>211177</v>
      </c>
      <c r="G60" s="621">
        <f t="shared" si="16"/>
        <v>2053756.14</v>
      </c>
      <c r="H60" s="621">
        <f t="shared" si="16"/>
        <v>4567844.416666666</v>
      </c>
      <c r="I60" s="621">
        <f t="shared" si="1"/>
        <v>-2514088.2766666664</v>
      </c>
      <c r="J60" s="621">
        <f t="shared" si="2"/>
        <v>-0.55038833360731987</v>
      </c>
      <c r="K60" s="624">
        <f t="shared" si="16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>
        <v>4983103</v>
      </c>
      <c r="F61" s="747">
        <v>211177</v>
      </c>
      <c r="G61" s="747">
        <v>2053756.14</v>
      </c>
      <c r="H61" s="747">
        <f>E61/12*11</f>
        <v>4567844.416666666</v>
      </c>
      <c r="I61" s="411">
        <f t="shared" si="1"/>
        <v>-2514088.2766666664</v>
      </c>
      <c r="J61" s="411">
        <f t="shared" si="2"/>
        <v>-0.55038833360731987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1"/>
        <v>0</v>
      </c>
      <c r="J62" s="411" t="str">
        <f t="shared" si="2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1"/>
        <v>0</v>
      </c>
      <c r="J63" s="411" t="str">
        <f t="shared" si="2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17">SUM(D65)</f>
        <v>14020965</v>
      </c>
      <c r="E64" s="621">
        <f t="shared" si="17"/>
        <v>14135354</v>
      </c>
      <c r="F64" s="621">
        <f t="shared" si="17"/>
        <v>602917</v>
      </c>
      <c r="G64" s="621">
        <f t="shared" si="17"/>
        <v>8640307.3000000007</v>
      </c>
      <c r="H64" s="621">
        <f t="shared" si="17"/>
        <v>12957407.833333334</v>
      </c>
      <c r="I64" s="621">
        <f t="shared" si="1"/>
        <v>-4317100.5333333332</v>
      </c>
      <c r="J64" s="621">
        <f t="shared" si="2"/>
        <v>-0.33317624858788947</v>
      </c>
      <c r="K64" s="624">
        <f t="shared" si="17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>
        <v>14135354</v>
      </c>
      <c r="F65" s="747">
        <v>602917</v>
      </c>
      <c r="G65" s="747">
        <v>8640307.3000000007</v>
      </c>
      <c r="H65" s="747">
        <f>E65/12*11</f>
        <v>12957407.833333334</v>
      </c>
      <c r="I65" s="411">
        <f t="shared" si="1"/>
        <v>-4317100.5333333332</v>
      </c>
      <c r="J65" s="411">
        <f t="shared" si="2"/>
        <v>-0.33317624858788947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18">SUM(D67:D71)</f>
        <v>0</v>
      </c>
      <c r="E66" s="621">
        <f t="shared" si="18"/>
        <v>0</v>
      </c>
      <c r="F66" s="621">
        <f t="shared" si="18"/>
        <v>0</v>
      </c>
      <c r="G66" s="621">
        <f t="shared" si="18"/>
        <v>0</v>
      </c>
      <c r="H66" s="621">
        <f t="shared" si="18"/>
        <v>0</v>
      </c>
      <c r="I66" s="621">
        <f t="shared" si="1"/>
        <v>0</v>
      </c>
      <c r="J66" s="621" t="str">
        <f t="shared" si="2"/>
        <v/>
      </c>
      <c r="K66" s="624">
        <f t="shared" si="18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1"/>
        <v>0</v>
      </c>
      <c r="J67" s="411" t="str">
        <f t="shared" si="2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1"/>
        <v>0</v>
      </c>
      <c r="J68" s="411" t="str">
        <f t="shared" si="2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1"/>
        <v>0</v>
      </c>
      <c r="J69" s="411" t="str">
        <f t="shared" si="2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1"/>
        <v>0</v>
      </c>
      <c r="J70" s="411" t="str">
        <f t="shared" si="2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19">C6+C16+C38+C53+C66</f>
        <v>259573523</v>
      </c>
      <c r="D72" s="626">
        <f t="shared" si="19"/>
        <v>362208835.51280415</v>
      </c>
      <c r="E72" s="626">
        <f t="shared" si="19"/>
        <v>350984249.38999999</v>
      </c>
      <c r="F72" s="626">
        <f t="shared" si="19"/>
        <v>8551394</v>
      </c>
      <c r="G72" s="626">
        <f t="shared" si="19"/>
        <v>227190826.12</v>
      </c>
      <c r="H72" s="626">
        <f t="shared" si="19"/>
        <v>326164015.73249996</v>
      </c>
      <c r="I72" s="626">
        <f>G72-H72</f>
        <v>-98973189.612499952</v>
      </c>
      <c r="J72" s="626">
        <f>IF(I72=0,"",I72/H72)</f>
        <v>-0.3034460726460757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0">C76+C79+C80</f>
        <v>222905658</v>
      </c>
      <c r="D75" s="615">
        <f t="shared" si="20"/>
        <v>117836231.25680906</v>
      </c>
      <c r="E75" s="615">
        <f t="shared" si="20"/>
        <v>129336127.53999999</v>
      </c>
      <c r="F75" s="615">
        <f t="shared" si="20"/>
        <v>5645455.9399999995</v>
      </c>
      <c r="G75" s="615">
        <f t="shared" si="20"/>
        <v>89175713.659999996</v>
      </c>
      <c r="H75" s="615">
        <f t="shared" si="20"/>
        <v>118558116.91166668</v>
      </c>
      <c r="I75" s="615">
        <f t="shared" ref="I75:I138" si="21">G75-H75</f>
        <v>-29382403.25166668</v>
      </c>
      <c r="J75" s="615">
        <f t="shared" ref="J75:J138" si="22">IF(I75=0,"",I75/H75)</f>
        <v>-0.24783122418820497</v>
      </c>
      <c r="K75" s="616">
        <f t="shared" si="20"/>
        <v>0</v>
      </c>
      <c r="L75" s="101"/>
    </row>
    <row r="76" spans="1:12" x14ac:dyDescent="0.25">
      <c r="A76" s="617" t="str">
        <f t="shared" ref="A76:A139" si="23">A7</f>
        <v>Executive and council</v>
      </c>
      <c r="B76" s="630"/>
      <c r="C76" s="618">
        <f t="shared" ref="C76:K76" si="24">SUM(C77:C78)</f>
        <v>22018516</v>
      </c>
      <c r="D76" s="618">
        <f t="shared" si="24"/>
        <v>33075578.289715648</v>
      </c>
      <c r="E76" s="618">
        <f t="shared" si="24"/>
        <v>33036075.25</v>
      </c>
      <c r="F76" s="618">
        <f t="shared" si="24"/>
        <v>2044353.33</v>
      </c>
      <c r="G76" s="618">
        <f t="shared" si="24"/>
        <v>28138201.140000001</v>
      </c>
      <c r="H76" s="618">
        <f t="shared" si="24"/>
        <v>30283068.979166672</v>
      </c>
      <c r="I76" s="618">
        <f t="shared" si="21"/>
        <v>-2144867.839166671</v>
      </c>
      <c r="J76" s="618">
        <f t="shared" si="22"/>
        <v>-7.0827294308982991E-2</v>
      </c>
      <c r="K76" s="620">
        <f t="shared" si="24"/>
        <v>0</v>
      </c>
      <c r="L76" s="101"/>
    </row>
    <row r="77" spans="1:12" x14ac:dyDescent="0.25">
      <c r="A77" s="705" t="str">
        <f t="shared" si="23"/>
        <v>Mayor and Council</v>
      </c>
      <c r="B77" s="630"/>
      <c r="C77" s="747">
        <f>11421583+3394041</f>
        <v>14815624</v>
      </c>
      <c r="D77" s="747">
        <v>26021258.381915648</v>
      </c>
      <c r="E77" s="747">
        <v>24691139</v>
      </c>
      <c r="F77" s="747">
        <v>1420944.99</v>
      </c>
      <c r="G77" s="747">
        <v>23059687.919999998</v>
      </c>
      <c r="H77" s="747">
        <f t="shared" ref="H77:H84" si="25">E77/12*11</f>
        <v>22633544.083333336</v>
      </c>
      <c r="I77" s="411">
        <f t="shared" si="21"/>
        <v>426143.83666666225</v>
      </c>
      <c r="J77" s="411">
        <f t="shared" si="22"/>
        <v>1.8827976524474654E-2</v>
      </c>
      <c r="K77" s="749"/>
      <c r="L77" s="101"/>
    </row>
    <row r="78" spans="1:12" x14ac:dyDescent="0.25">
      <c r="A78" s="705" t="str">
        <f t="shared" si="23"/>
        <v>Municipal Manager</v>
      </c>
      <c r="B78" s="630"/>
      <c r="C78" s="747">
        <v>7202892</v>
      </c>
      <c r="D78" s="747">
        <v>7054319.9078000002</v>
      </c>
      <c r="E78" s="747">
        <v>8344936.2500000009</v>
      </c>
      <c r="F78" s="747">
        <v>623408.34</v>
      </c>
      <c r="G78" s="747">
        <v>5078513.2200000007</v>
      </c>
      <c r="H78" s="747">
        <f t="shared" si="25"/>
        <v>7649524.895833334</v>
      </c>
      <c r="I78" s="411">
        <f t="shared" si="21"/>
        <v>-2571011.6758333333</v>
      </c>
      <c r="J78" s="411">
        <f t="shared" si="22"/>
        <v>-0.33610083120766798</v>
      </c>
      <c r="K78" s="749"/>
      <c r="L78" s="101"/>
    </row>
    <row r="79" spans="1:12" x14ac:dyDescent="0.25">
      <c r="A79" s="617" t="str">
        <f t="shared" si="23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>
        <v>71789939.469999999</v>
      </c>
      <c r="F79" s="748">
        <v>2122290.71</v>
      </c>
      <c r="G79" s="748">
        <f>35693773.49+7764000</f>
        <v>43457773.490000002</v>
      </c>
      <c r="H79" s="748">
        <f t="shared" si="25"/>
        <v>65807444.514166668</v>
      </c>
      <c r="I79" s="618">
        <f t="shared" si="21"/>
        <v>-22349671.024166666</v>
      </c>
      <c r="J79" s="618">
        <f t="shared" si="22"/>
        <v>-0.3396222295086288</v>
      </c>
      <c r="K79" s="750"/>
      <c r="L79" s="101"/>
    </row>
    <row r="80" spans="1:12" x14ac:dyDescent="0.25">
      <c r="A80" s="617" t="str">
        <f t="shared" si="23"/>
        <v>Corporate services</v>
      </c>
      <c r="B80" s="630"/>
      <c r="C80" s="618">
        <f t="shared" ref="C80:K80" si="26">SUM(C81:C84)</f>
        <v>118793338</v>
      </c>
      <c r="D80" s="618">
        <f t="shared" si="26"/>
        <v>24973203.449460004</v>
      </c>
      <c r="E80" s="618">
        <f t="shared" si="26"/>
        <v>24510112.82</v>
      </c>
      <c r="F80" s="618">
        <f t="shared" si="26"/>
        <v>1478811.9</v>
      </c>
      <c r="G80" s="618">
        <f t="shared" si="26"/>
        <v>17579739.030000001</v>
      </c>
      <c r="H80" s="618">
        <f t="shared" si="26"/>
        <v>22467603.418333337</v>
      </c>
      <c r="I80" s="618">
        <f t="shared" si="21"/>
        <v>-4887864.3883333355</v>
      </c>
      <c r="J80" s="618">
        <f t="shared" si="22"/>
        <v>-0.21755165859590025</v>
      </c>
      <c r="K80" s="620">
        <f t="shared" si="26"/>
        <v>0</v>
      </c>
      <c r="L80" s="101"/>
    </row>
    <row r="81" spans="1:12" x14ac:dyDescent="0.25">
      <c r="A81" s="705" t="str">
        <f t="shared" si="23"/>
        <v>Human Resources</v>
      </c>
      <c r="B81" s="630"/>
      <c r="C81" s="747">
        <f>5728182+103878112+2776148</f>
        <v>112382442</v>
      </c>
      <c r="D81" s="747">
        <v>18865489.24853</v>
      </c>
      <c r="E81" s="747">
        <v>18524069</v>
      </c>
      <c r="F81" s="747">
        <v>1478811.9</v>
      </c>
      <c r="G81" s="747">
        <v>17579739.030000001</v>
      </c>
      <c r="H81" s="747">
        <f t="shared" si="25"/>
        <v>16980396.583333336</v>
      </c>
      <c r="I81" s="411">
        <f t="shared" si="21"/>
        <v>599342.44666666538</v>
      </c>
      <c r="J81" s="411">
        <f t="shared" si="22"/>
        <v>3.5296139505654085E-2</v>
      </c>
      <c r="K81" s="749"/>
      <c r="L81" s="101"/>
    </row>
    <row r="82" spans="1:12" x14ac:dyDescent="0.25">
      <c r="A82" s="705" t="str">
        <f t="shared" si="23"/>
        <v>Information Technology</v>
      </c>
      <c r="B82" s="630"/>
      <c r="C82" s="747">
        <v>114641</v>
      </c>
      <c r="D82" s="747">
        <v>3189801.25055</v>
      </c>
      <c r="E82" s="747">
        <v>5986043.8200000003</v>
      </c>
      <c r="F82" s="747"/>
      <c r="G82" s="747"/>
      <c r="H82" s="747">
        <f t="shared" si="25"/>
        <v>5487206.8350000009</v>
      </c>
      <c r="I82" s="411">
        <f t="shared" si="21"/>
        <v>-5487206.8350000009</v>
      </c>
      <c r="J82" s="411">
        <f t="shared" si="22"/>
        <v>-1</v>
      </c>
      <c r="K82" s="749"/>
      <c r="L82" s="101"/>
    </row>
    <row r="83" spans="1:12" x14ac:dyDescent="0.25">
      <c r="A83" s="705" t="str">
        <f t="shared" si="23"/>
        <v>Property Services</v>
      </c>
      <c r="B83" s="630"/>
      <c r="C83" s="747"/>
      <c r="D83" s="747"/>
      <c r="E83" s="747"/>
      <c r="F83" s="747"/>
      <c r="G83" s="747"/>
      <c r="H83" s="747">
        <f t="shared" si="25"/>
        <v>0</v>
      </c>
      <c r="I83" s="411">
        <f t="shared" si="21"/>
        <v>0</v>
      </c>
      <c r="J83" s="411" t="str">
        <f t="shared" si="22"/>
        <v/>
      </c>
      <c r="K83" s="749"/>
      <c r="L83" s="101"/>
    </row>
    <row r="84" spans="1:12" x14ac:dyDescent="0.25">
      <c r="A84" s="705" t="str">
        <f t="shared" si="23"/>
        <v>Other Admin</v>
      </c>
      <c r="B84" s="630"/>
      <c r="C84" s="747">
        <v>6296255</v>
      </c>
      <c r="D84" s="747">
        <v>2917912.9503800003</v>
      </c>
      <c r="E84" s="747"/>
      <c r="F84" s="747"/>
      <c r="G84" s="747">
        <v>0</v>
      </c>
      <c r="H84" s="747">
        <f t="shared" si="25"/>
        <v>0</v>
      </c>
      <c r="I84" s="411">
        <f t="shared" si="21"/>
        <v>0</v>
      </c>
      <c r="J84" s="411" t="str">
        <f t="shared" si="22"/>
        <v/>
      </c>
      <c r="K84" s="749"/>
      <c r="L84" s="101"/>
    </row>
    <row r="85" spans="1:12" x14ac:dyDescent="0.25">
      <c r="A85" s="417" t="str">
        <f t="shared" si="23"/>
        <v>Community and public safety</v>
      </c>
      <c r="B85" s="630"/>
      <c r="C85" s="615">
        <f t="shared" ref="C85:K85" si="27">C86+C95+C96+C102+C103</f>
        <v>3872955</v>
      </c>
      <c r="D85" s="615">
        <f t="shared" si="27"/>
        <v>5990704.3318699999</v>
      </c>
      <c r="E85" s="615">
        <f t="shared" si="27"/>
        <v>25193308.800000001</v>
      </c>
      <c r="F85" s="615">
        <f t="shared" si="27"/>
        <v>1795090.0899999999</v>
      </c>
      <c r="G85" s="615">
        <f t="shared" si="27"/>
        <v>15288596.949999999</v>
      </c>
      <c r="H85" s="615">
        <f t="shared" si="27"/>
        <v>23093866.400000002</v>
      </c>
      <c r="I85" s="615">
        <f t="shared" si="21"/>
        <v>-7805269.450000003</v>
      </c>
      <c r="J85" s="615">
        <f t="shared" si="22"/>
        <v>-0.33798019416965203</v>
      </c>
      <c r="K85" s="616">
        <f t="shared" si="27"/>
        <v>0</v>
      </c>
      <c r="L85" s="101"/>
    </row>
    <row r="86" spans="1:12" x14ac:dyDescent="0.25">
      <c r="A86" s="617" t="str">
        <f t="shared" si="23"/>
        <v>Community and social services</v>
      </c>
      <c r="B86" s="630"/>
      <c r="C86" s="621">
        <f t="shared" ref="C86:K86" si="28">SUM(C87:C94)</f>
        <v>0</v>
      </c>
      <c r="D86" s="621">
        <f t="shared" si="28"/>
        <v>2308290.1038000002</v>
      </c>
      <c r="E86" s="621">
        <f t="shared" si="28"/>
        <v>21805121.800000001</v>
      </c>
      <c r="F86" s="621">
        <f t="shared" si="28"/>
        <v>1421895.67</v>
      </c>
      <c r="G86" s="621">
        <f t="shared" si="28"/>
        <v>11954233.83</v>
      </c>
      <c r="H86" s="621">
        <f t="shared" si="28"/>
        <v>19988028.31666667</v>
      </c>
      <c r="I86" s="621">
        <f t="shared" si="21"/>
        <v>-8033794.4866666701</v>
      </c>
      <c r="J86" s="621">
        <f t="shared" si="22"/>
        <v>-0.40193031345507102</v>
      </c>
      <c r="K86" s="624">
        <f t="shared" si="28"/>
        <v>0</v>
      </c>
      <c r="L86" s="101"/>
    </row>
    <row r="87" spans="1:12" x14ac:dyDescent="0.25">
      <c r="A87" s="705" t="str">
        <f t="shared" si="23"/>
        <v>Libraries and Archives</v>
      </c>
      <c r="B87" s="630"/>
      <c r="C87" s="747"/>
      <c r="D87" s="747">
        <v>667774.30970000033</v>
      </c>
      <c r="E87" s="747">
        <v>1239062</v>
      </c>
      <c r="F87" s="747">
        <v>61287.6</v>
      </c>
      <c r="G87" s="747">
        <v>186260.2</v>
      </c>
      <c r="H87" s="747">
        <f t="shared" ref="H87:H95" si="29">E87/12*11</f>
        <v>1135806.8333333335</v>
      </c>
      <c r="I87" s="411">
        <f t="shared" si="21"/>
        <v>-949546.63333333354</v>
      </c>
      <c r="J87" s="411">
        <f t="shared" si="22"/>
        <v>-0.8360106714155181</v>
      </c>
      <c r="K87" s="749"/>
      <c r="L87" s="101"/>
    </row>
    <row r="88" spans="1:12" x14ac:dyDescent="0.25">
      <c r="A88" s="705" t="str">
        <f t="shared" si="23"/>
        <v>Museums &amp; Art Galleries etc</v>
      </c>
      <c r="B88" s="630"/>
      <c r="C88" s="747"/>
      <c r="D88" s="747"/>
      <c r="E88" s="747">
        <v>0</v>
      </c>
      <c r="F88" s="747"/>
      <c r="G88" s="747"/>
      <c r="H88" s="747">
        <f t="shared" si="29"/>
        <v>0</v>
      </c>
      <c r="I88" s="411">
        <f t="shared" si="21"/>
        <v>0</v>
      </c>
      <c r="J88" s="411" t="str">
        <f t="shared" si="22"/>
        <v/>
      </c>
      <c r="K88" s="749"/>
      <c r="L88" s="101"/>
    </row>
    <row r="89" spans="1:12" x14ac:dyDescent="0.25">
      <c r="A89" s="705" t="str">
        <f t="shared" si="23"/>
        <v>Community halls and Facilities</v>
      </c>
      <c r="B89" s="630"/>
      <c r="C89" s="747"/>
      <c r="D89" s="747"/>
      <c r="E89" s="747">
        <v>0</v>
      </c>
      <c r="F89" s="747"/>
      <c r="G89" s="747"/>
      <c r="H89" s="747">
        <f t="shared" si="29"/>
        <v>0</v>
      </c>
      <c r="I89" s="411">
        <f t="shared" si="21"/>
        <v>0</v>
      </c>
      <c r="J89" s="411" t="str">
        <f t="shared" si="22"/>
        <v/>
      </c>
      <c r="K89" s="749"/>
      <c r="L89" s="101"/>
    </row>
    <row r="90" spans="1:12" x14ac:dyDescent="0.25">
      <c r="A90" s="705" t="str">
        <f t="shared" si="23"/>
        <v>Cemeteries &amp; Crematoriums</v>
      </c>
      <c r="B90" s="630"/>
      <c r="C90" s="747"/>
      <c r="D90" s="747">
        <v>393465.33754999982</v>
      </c>
      <c r="E90" s="747">
        <v>697472</v>
      </c>
      <c r="F90" s="747">
        <v>22164.789999999997</v>
      </c>
      <c r="G90" s="747">
        <v>319004.78999999998</v>
      </c>
      <c r="H90" s="747">
        <f t="shared" si="29"/>
        <v>639349.33333333326</v>
      </c>
      <c r="I90" s="411">
        <f t="shared" si="21"/>
        <v>-320344.54333333328</v>
      </c>
      <c r="J90" s="411">
        <f t="shared" si="22"/>
        <v>-0.50104774750162662</v>
      </c>
      <c r="K90" s="749"/>
      <c r="L90" s="101"/>
    </row>
    <row r="91" spans="1:12" x14ac:dyDescent="0.25">
      <c r="A91" s="705" t="str">
        <f t="shared" si="23"/>
        <v>Child Care</v>
      </c>
      <c r="B91" s="630"/>
      <c r="C91" s="747"/>
      <c r="D91" s="747"/>
      <c r="E91" s="747">
        <v>0</v>
      </c>
      <c r="F91" s="747"/>
      <c r="G91" s="747"/>
      <c r="H91" s="747">
        <f t="shared" si="29"/>
        <v>0</v>
      </c>
      <c r="I91" s="411">
        <f t="shared" si="21"/>
        <v>0</v>
      </c>
      <c r="J91" s="411" t="str">
        <f t="shared" si="22"/>
        <v/>
      </c>
      <c r="K91" s="749"/>
      <c r="L91" s="101"/>
    </row>
    <row r="92" spans="1:12" x14ac:dyDescent="0.25">
      <c r="A92" s="705" t="str">
        <f t="shared" si="23"/>
        <v>Aged Care</v>
      </c>
      <c r="B92" s="630"/>
      <c r="C92" s="747"/>
      <c r="D92" s="747"/>
      <c r="E92" s="747">
        <v>0</v>
      </c>
      <c r="F92" s="747"/>
      <c r="G92" s="747"/>
      <c r="H92" s="747">
        <f t="shared" si="29"/>
        <v>0</v>
      </c>
      <c r="I92" s="411">
        <f t="shared" si="21"/>
        <v>0</v>
      </c>
      <c r="J92" s="411" t="str">
        <f t="shared" si="22"/>
        <v/>
      </c>
      <c r="K92" s="749"/>
      <c r="L92" s="101"/>
    </row>
    <row r="93" spans="1:12" x14ac:dyDescent="0.25">
      <c r="A93" s="705" t="str">
        <f t="shared" si="23"/>
        <v>Other Community</v>
      </c>
      <c r="B93" s="630"/>
      <c r="C93" s="747"/>
      <c r="D93" s="747">
        <v>1247050.45655</v>
      </c>
      <c r="E93" s="747">
        <v>19868587.800000001</v>
      </c>
      <c r="F93" s="747">
        <v>820228.28</v>
      </c>
      <c r="G93" s="747">
        <f>3154386.84+7763000</f>
        <v>10917386.84</v>
      </c>
      <c r="H93" s="747">
        <f t="shared" si="29"/>
        <v>18212872.150000002</v>
      </c>
      <c r="I93" s="411">
        <f t="shared" si="21"/>
        <v>-7295485.3100000024</v>
      </c>
      <c r="J93" s="411">
        <f t="shared" si="22"/>
        <v>-0.40056753541752621</v>
      </c>
      <c r="K93" s="749"/>
      <c r="L93" s="101"/>
    </row>
    <row r="94" spans="1:12" x14ac:dyDescent="0.25">
      <c r="A94" s="705" t="str">
        <f t="shared" si="23"/>
        <v>Other Social</v>
      </c>
      <c r="B94" s="630"/>
      <c r="C94" s="747"/>
      <c r="D94" s="747"/>
      <c r="E94" s="747">
        <v>0</v>
      </c>
      <c r="F94" s="747">
        <v>518215</v>
      </c>
      <c r="G94" s="747">
        <v>531582</v>
      </c>
      <c r="H94" s="747">
        <f t="shared" si="29"/>
        <v>0</v>
      </c>
      <c r="I94" s="411">
        <f t="shared" si="21"/>
        <v>531582</v>
      </c>
      <c r="J94" s="411" t="e">
        <f t="shared" si="22"/>
        <v>#DIV/0!</v>
      </c>
      <c r="K94" s="749"/>
      <c r="L94" s="101"/>
    </row>
    <row r="95" spans="1:12" x14ac:dyDescent="0.25">
      <c r="A95" s="617" t="str">
        <f t="shared" si="23"/>
        <v>Sport and recreation</v>
      </c>
      <c r="B95" s="630"/>
      <c r="C95" s="747">
        <v>3872955</v>
      </c>
      <c r="D95" s="747">
        <v>3682414.2280699997</v>
      </c>
      <c r="E95" s="747">
        <v>3388187</v>
      </c>
      <c r="F95" s="747">
        <v>373194.42</v>
      </c>
      <c r="G95" s="747">
        <v>3334363.12</v>
      </c>
      <c r="H95" s="747">
        <f t="shared" si="29"/>
        <v>3105838.0833333335</v>
      </c>
      <c r="I95" s="411">
        <f t="shared" si="21"/>
        <v>228525.03666666662</v>
      </c>
      <c r="J95" s="411">
        <f t="shared" si="22"/>
        <v>7.3579185564433117E-2</v>
      </c>
      <c r="K95" s="749"/>
      <c r="L95" s="101"/>
    </row>
    <row r="96" spans="1:12" x14ac:dyDescent="0.25">
      <c r="A96" s="617" t="str">
        <f t="shared" si="23"/>
        <v>Public safety</v>
      </c>
      <c r="B96" s="630"/>
      <c r="C96" s="621">
        <f t="shared" ref="C96:K96" si="30">SUM(C97:C101)</f>
        <v>0</v>
      </c>
      <c r="D96" s="621">
        <f t="shared" si="30"/>
        <v>0</v>
      </c>
      <c r="E96" s="621">
        <f t="shared" si="30"/>
        <v>0</v>
      </c>
      <c r="F96" s="621">
        <f t="shared" si="30"/>
        <v>0</v>
      </c>
      <c r="G96" s="621">
        <f t="shared" si="30"/>
        <v>0</v>
      </c>
      <c r="H96" s="621">
        <f t="shared" si="30"/>
        <v>0</v>
      </c>
      <c r="I96" s="621">
        <f t="shared" si="21"/>
        <v>0</v>
      </c>
      <c r="J96" s="621" t="str">
        <f t="shared" si="22"/>
        <v/>
      </c>
      <c r="K96" s="624">
        <f t="shared" si="30"/>
        <v>0</v>
      </c>
      <c r="L96" s="101"/>
    </row>
    <row r="97" spans="1:12" x14ac:dyDescent="0.25">
      <c r="A97" s="705" t="str">
        <f t="shared" si="23"/>
        <v>Police</v>
      </c>
      <c r="B97" s="630"/>
      <c r="C97" s="747"/>
      <c r="D97" s="747"/>
      <c r="E97" s="747"/>
      <c r="F97" s="747"/>
      <c r="G97" s="747"/>
      <c r="H97" s="747"/>
      <c r="I97" s="411">
        <f t="shared" si="21"/>
        <v>0</v>
      </c>
      <c r="J97" s="411" t="str">
        <f t="shared" si="22"/>
        <v/>
      </c>
      <c r="K97" s="749"/>
      <c r="L97" s="101"/>
    </row>
    <row r="98" spans="1:12" x14ac:dyDescent="0.25">
      <c r="A98" s="705" t="str">
        <f t="shared" si="23"/>
        <v>Fire</v>
      </c>
      <c r="B98" s="630"/>
      <c r="C98" s="747"/>
      <c r="D98" s="747"/>
      <c r="E98" s="747"/>
      <c r="F98" s="747"/>
      <c r="G98" s="747"/>
      <c r="H98" s="747"/>
      <c r="I98" s="411">
        <f t="shared" si="21"/>
        <v>0</v>
      </c>
      <c r="J98" s="411" t="str">
        <f t="shared" si="22"/>
        <v/>
      </c>
      <c r="K98" s="749"/>
      <c r="L98" s="101"/>
    </row>
    <row r="99" spans="1:12" x14ac:dyDescent="0.25">
      <c r="A99" s="705" t="str">
        <f t="shared" si="23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1"/>
        <v>0</v>
      </c>
      <c r="J99" s="411" t="str">
        <f t="shared" si="22"/>
        <v/>
      </c>
      <c r="K99" s="749"/>
      <c r="L99" s="101"/>
    </row>
    <row r="100" spans="1:12" x14ac:dyDescent="0.25">
      <c r="A100" s="705" t="str">
        <f t="shared" si="23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1"/>
        <v>0</v>
      </c>
      <c r="J100" s="411" t="str">
        <f t="shared" si="22"/>
        <v/>
      </c>
      <c r="K100" s="749"/>
      <c r="L100" s="101"/>
    </row>
    <row r="101" spans="1:12" x14ac:dyDescent="0.25">
      <c r="A101" s="705" t="str">
        <f t="shared" si="23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1"/>
        <v>0</v>
      </c>
      <c r="J101" s="411" t="str">
        <f t="shared" si="22"/>
        <v/>
      </c>
      <c r="K101" s="749"/>
      <c r="L101" s="101"/>
    </row>
    <row r="102" spans="1:12" x14ac:dyDescent="0.25">
      <c r="A102" s="617" t="str">
        <f t="shared" si="23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1"/>
        <v>0</v>
      </c>
      <c r="J102" s="621" t="str">
        <f t="shared" si="22"/>
        <v/>
      </c>
      <c r="K102" s="752"/>
      <c r="L102" s="101"/>
    </row>
    <row r="103" spans="1:12" x14ac:dyDescent="0.25">
      <c r="A103" s="617" t="str">
        <f t="shared" si="23"/>
        <v>Health</v>
      </c>
      <c r="B103" s="630"/>
      <c r="C103" s="621">
        <f t="shared" ref="C103:K103" si="31">SUM(C104:C106)</f>
        <v>0</v>
      </c>
      <c r="D103" s="621">
        <f t="shared" si="31"/>
        <v>0</v>
      </c>
      <c r="E103" s="621">
        <f t="shared" si="31"/>
        <v>0</v>
      </c>
      <c r="F103" s="621">
        <f t="shared" si="31"/>
        <v>0</v>
      </c>
      <c r="G103" s="621">
        <f t="shared" si="31"/>
        <v>0</v>
      </c>
      <c r="H103" s="621">
        <f t="shared" si="31"/>
        <v>0</v>
      </c>
      <c r="I103" s="621">
        <f t="shared" si="21"/>
        <v>0</v>
      </c>
      <c r="J103" s="621" t="str">
        <f t="shared" si="22"/>
        <v/>
      </c>
      <c r="K103" s="624">
        <f t="shared" si="31"/>
        <v>0</v>
      </c>
      <c r="L103" s="101"/>
    </row>
    <row r="104" spans="1:12" x14ac:dyDescent="0.25">
      <c r="A104" s="705" t="str">
        <f t="shared" si="23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1"/>
        <v>0</v>
      </c>
      <c r="J104" s="411" t="str">
        <f t="shared" si="22"/>
        <v/>
      </c>
      <c r="K104" s="749"/>
      <c r="L104" s="101"/>
    </row>
    <row r="105" spans="1:12" x14ac:dyDescent="0.25">
      <c r="A105" s="705" t="str">
        <f t="shared" si="23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1"/>
        <v>0</v>
      </c>
      <c r="J105" s="411" t="str">
        <f t="shared" si="22"/>
        <v/>
      </c>
      <c r="K105" s="749"/>
      <c r="L105" s="101"/>
    </row>
    <row r="106" spans="1:12" x14ac:dyDescent="0.25">
      <c r="A106" s="705" t="str">
        <f t="shared" si="23"/>
        <v xml:space="preserve">Other   </v>
      </c>
      <c r="B106" s="630"/>
      <c r="C106" s="747"/>
      <c r="D106" s="747"/>
      <c r="E106" s="747"/>
      <c r="F106" s="747">
        <v>0</v>
      </c>
      <c r="G106" s="747"/>
      <c r="H106" s="747"/>
      <c r="I106" s="411">
        <f t="shared" si="21"/>
        <v>0</v>
      </c>
      <c r="J106" s="411" t="str">
        <f t="shared" si="22"/>
        <v/>
      </c>
      <c r="K106" s="749"/>
      <c r="L106" s="101"/>
    </row>
    <row r="107" spans="1:12" x14ac:dyDescent="0.25">
      <c r="A107" s="417" t="str">
        <f t="shared" si="23"/>
        <v>Economic and environmental services</v>
      </c>
      <c r="B107" s="630"/>
      <c r="C107" s="615">
        <f t="shared" ref="C107:K107" si="32">C108+C112+C118</f>
        <v>22716466</v>
      </c>
      <c r="D107" s="615">
        <f t="shared" si="32"/>
        <v>57088684.211060002</v>
      </c>
      <c r="E107" s="615">
        <f t="shared" si="32"/>
        <v>66942388.979894966</v>
      </c>
      <c r="F107" s="615">
        <f t="shared" si="32"/>
        <v>3183172.4300000006</v>
      </c>
      <c r="G107" s="615">
        <f t="shared" si="32"/>
        <v>39786541.060000002</v>
      </c>
      <c r="H107" s="615">
        <f t="shared" si="32"/>
        <v>61363856.564903714</v>
      </c>
      <c r="I107" s="615">
        <f t="shared" si="21"/>
        <v>-21577315.504903711</v>
      </c>
      <c r="J107" s="615">
        <f t="shared" si="22"/>
        <v>-0.35162906493795221</v>
      </c>
      <c r="K107" s="616">
        <f t="shared" si="32"/>
        <v>0</v>
      </c>
      <c r="L107" s="101"/>
    </row>
    <row r="108" spans="1:12" x14ac:dyDescent="0.25">
      <c r="A108" s="617" t="str">
        <f t="shared" si="23"/>
        <v>Planning and development</v>
      </c>
      <c r="B108" s="630"/>
      <c r="C108" s="621">
        <f t="shared" ref="C108:K108" si="33">SUM(C109:C111)</f>
        <v>0</v>
      </c>
      <c r="D108" s="621">
        <f t="shared" si="33"/>
        <v>13615925.372650001</v>
      </c>
      <c r="E108" s="621">
        <f t="shared" si="33"/>
        <v>49029837.520000003</v>
      </c>
      <c r="F108" s="621">
        <f t="shared" si="33"/>
        <v>2202825.9400000004</v>
      </c>
      <c r="G108" s="621">
        <f t="shared" si="33"/>
        <v>23461737.420000002</v>
      </c>
      <c r="H108" s="621">
        <f t="shared" si="33"/>
        <v>44944017.726666667</v>
      </c>
      <c r="I108" s="621">
        <f t="shared" si="21"/>
        <v>-21482280.306666665</v>
      </c>
      <c r="J108" s="621">
        <f t="shared" si="22"/>
        <v>-0.47797863638525062</v>
      </c>
      <c r="K108" s="624">
        <f t="shared" si="33"/>
        <v>0</v>
      </c>
      <c r="L108" s="101"/>
    </row>
    <row r="109" spans="1:12" x14ac:dyDescent="0.25">
      <c r="A109" s="705" t="str">
        <f t="shared" si="23"/>
        <v xml:space="preserve">Economic Development/Planning </v>
      </c>
      <c r="B109" s="630"/>
      <c r="C109" s="747"/>
      <c r="D109" s="747">
        <v>7043244.8275999986</v>
      </c>
      <c r="E109" s="747">
        <v>47288376</v>
      </c>
      <c r="F109" s="747">
        <v>746249.55</v>
      </c>
      <c r="G109" s="747">
        <v>19469811.650000002</v>
      </c>
      <c r="H109" s="747">
        <f t="shared" ref="H109:H117" si="34">E109/12*11</f>
        <v>43347678</v>
      </c>
      <c r="I109" s="411">
        <f t="shared" si="21"/>
        <v>-23877866.349999998</v>
      </c>
      <c r="J109" s="411">
        <f t="shared" si="22"/>
        <v>-0.55084533824395387</v>
      </c>
      <c r="K109" s="749"/>
      <c r="L109" s="101"/>
    </row>
    <row r="110" spans="1:12" ht="22.5" x14ac:dyDescent="0.25">
      <c r="A110" s="705" t="str">
        <f t="shared" si="23"/>
        <v xml:space="preserve">Town Planning/Building enforcement </v>
      </c>
      <c r="B110" s="630"/>
      <c r="C110" s="747"/>
      <c r="D110" s="747">
        <v>6572680.5450500026</v>
      </c>
      <c r="E110" s="747">
        <v>1741461.5199999998</v>
      </c>
      <c r="F110" s="747">
        <v>1456576.3900000001</v>
      </c>
      <c r="G110" s="747">
        <v>3991925.77</v>
      </c>
      <c r="H110" s="747">
        <f t="shared" si="34"/>
        <v>1596339.7266666663</v>
      </c>
      <c r="I110" s="411">
        <f t="shared" si="21"/>
        <v>2395586.0433333339</v>
      </c>
      <c r="J110" s="411">
        <f t="shared" si="22"/>
        <v>1.5006743259691859</v>
      </c>
      <c r="K110" s="749"/>
      <c r="L110" s="101"/>
    </row>
    <row r="111" spans="1:12" x14ac:dyDescent="0.25">
      <c r="A111" s="705" t="str">
        <f t="shared" si="23"/>
        <v>Licensing &amp; Regulation</v>
      </c>
      <c r="B111" s="630"/>
      <c r="C111" s="747"/>
      <c r="D111" s="747"/>
      <c r="E111" s="747"/>
      <c r="F111" s="747"/>
      <c r="G111" s="747"/>
      <c r="H111" s="747">
        <f t="shared" si="34"/>
        <v>0</v>
      </c>
      <c r="I111" s="411">
        <f t="shared" si="21"/>
        <v>0</v>
      </c>
      <c r="J111" s="411" t="str">
        <f t="shared" si="22"/>
        <v/>
      </c>
      <c r="K111" s="749"/>
      <c r="L111" s="101"/>
    </row>
    <row r="112" spans="1:12" x14ac:dyDescent="0.25">
      <c r="A112" s="617" t="str">
        <f t="shared" si="23"/>
        <v>Road transport</v>
      </c>
      <c r="B112" s="630"/>
      <c r="C112" s="621">
        <f t="shared" ref="C112:K112" si="35">SUM(C113:C117)</f>
        <v>22716466</v>
      </c>
      <c r="D112" s="621">
        <f t="shared" si="35"/>
        <v>43472758.838410005</v>
      </c>
      <c r="E112" s="621">
        <f t="shared" si="35"/>
        <v>17912551.459894959</v>
      </c>
      <c r="F112" s="621">
        <f t="shared" si="35"/>
        <v>980346.49</v>
      </c>
      <c r="G112" s="621">
        <f t="shared" si="35"/>
        <v>16324803.639999999</v>
      </c>
      <c r="H112" s="621">
        <f t="shared" si="35"/>
        <v>16419838.838237045</v>
      </c>
      <c r="I112" s="621">
        <f t="shared" si="21"/>
        <v>-95035.198237046599</v>
      </c>
      <c r="J112" s="621">
        <f t="shared" si="22"/>
        <v>-5.7878277109356989E-3</v>
      </c>
      <c r="K112" s="624">
        <f t="shared" si="35"/>
        <v>0</v>
      </c>
      <c r="L112" s="101"/>
    </row>
    <row r="113" spans="1:12" x14ac:dyDescent="0.25">
      <c r="A113" s="705" t="str">
        <f t="shared" si="23"/>
        <v>Roads</v>
      </c>
      <c r="B113" s="630"/>
      <c r="C113" s="747">
        <v>22716466</v>
      </c>
      <c r="D113" s="747">
        <v>26945560.582060009</v>
      </c>
      <c r="E113" s="747">
        <v>7297208</v>
      </c>
      <c r="F113" s="747">
        <v>209692.11</v>
      </c>
      <c r="G113" s="747">
        <v>11845319.869999999</v>
      </c>
      <c r="H113" s="747">
        <f t="shared" si="34"/>
        <v>6689107.333333333</v>
      </c>
      <c r="I113" s="411">
        <f t="shared" si="21"/>
        <v>5156212.5366666662</v>
      </c>
      <c r="J113" s="411">
        <f t="shared" si="22"/>
        <v>0.77083716551715264</v>
      </c>
      <c r="K113" s="749"/>
      <c r="L113" s="101"/>
    </row>
    <row r="114" spans="1:12" x14ac:dyDescent="0.25">
      <c r="A114" s="705" t="str">
        <f t="shared" si="23"/>
        <v>Public Buses</v>
      </c>
      <c r="B114" s="630"/>
      <c r="C114" s="747"/>
      <c r="D114" s="747"/>
      <c r="E114" s="747">
        <v>0</v>
      </c>
      <c r="F114" s="747"/>
      <c r="G114" s="747"/>
      <c r="H114" s="747">
        <f t="shared" si="34"/>
        <v>0</v>
      </c>
      <c r="I114" s="411">
        <f t="shared" si="21"/>
        <v>0</v>
      </c>
      <c r="J114" s="411" t="str">
        <f t="shared" si="22"/>
        <v/>
      </c>
      <c r="K114" s="749"/>
      <c r="L114" s="101"/>
    </row>
    <row r="115" spans="1:12" x14ac:dyDescent="0.25">
      <c r="A115" s="705" t="str">
        <f t="shared" si="23"/>
        <v>Parking Garages</v>
      </c>
      <c r="B115" s="630"/>
      <c r="C115" s="747"/>
      <c r="D115" s="747"/>
      <c r="E115" s="747">
        <v>0</v>
      </c>
      <c r="F115" s="747"/>
      <c r="G115" s="747"/>
      <c r="H115" s="747">
        <f t="shared" si="34"/>
        <v>0</v>
      </c>
      <c r="I115" s="411">
        <f t="shared" si="21"/>
        <v>0</v>
      </c>
      <c r="J115" s="411" t="str">
        <f t="shared" si="22"/>
        <v/>
      </c>
      <c r="K115" s="749"/>
      <c r="L115" s="101"/>
    </row>
    <row r="116" spans="1:12" x14ac:dyDescent="0.25">
      <c r="A116" s="705" t="str">
        <f t="shared" si="23"/>
        <v>Vehicle Licensing and Testing</v>
      </c>
      <c r="B116" s="630"/>
      <c r="C116" s="747"/>
      <c r="D116" s="747">
        <v>11021607.432949999</v>
      </c>
      <c r="E116" s="747">
        <v>7860000</v>
      </c>
      <c r="F116" s="747">
        <v>770654.38</v>
      </c>
      <c r="G116" s="747">
        <v>4479483.7699999996</v>
      </c>
      <c r="H116" s="747">
        <f t="shared" si="34"/>
        <v>7205000</v>
      </c>
      <c r="I116" s="411">
        <f t="shared" si="21"/>
        <v>-2725516.2300000004</v>
      </c>
      <c r="J116" s="411">
        <f t="shared" si="22"/>
        <v>-0.37828122553782101</v>
      </c>
      <c r="K116" s="749"/>
      <c r="L116" s="101"/>
    </row>
    <row r="117" spans="1:12" x14ac:dyDescent="0.25">
      <c r="A117" s="705" t="str">
        <f t="shared" si="23"/>
        <v>Other</v>
      </c>
      <c r="B117" s="630"/>
      <c r="C117" s="747"/>
      <c r="D117" s="747">
        <v>5505590.8234000001</v>
      </c>
      <c r="E117" s="747">
        <v>2755343.4598949598</v>
      </c>
      <c r="F117" s="747"/>
      <c r="G117" s="747"/>
      <c r="H117" s="747">
        <f t="shared" si="34"/>
        <v>2525731.5049037132</v>
      </c>
      <c r="I117" s="411">
        <f t="shared" si="21"/>
        <v>-2525731.5049037132</v>
      </c>
      <c r="J117" s="411">
        <f t="shared" si="22"/>
        <v>-1</v>
      </c>
      <c r="K117" s="749"/>
      <c r="L117" s="101"/>
    </row>
    <row r="118" spans="1:12" x14ac:dyDescent="0.25">
      <c r="A118" s="617" t="str">
        <f t="shared" si="23"/>
        <v>Environmental protection</v>
      </c>
      <c r="B118" s="630"/>
      <c r="C118" s="621">
        <f t="shared" ref="C118:K118" si="36">SUM(C119:C121)</f>
        <v>0</v>
      </c>
      <c r="D118" s="621">
        <f t="shared" si="36"/>
        <v>0</v>
      </c>
      <c r="E118" s="621">
        <f t="shared" si="36"/>
        <v>0</v>
      </c>
      <c r="F118" s="621">
        <f t="shared" si="36"/>
        <v>0</v>
      </c>
      <c r="G118" s="621">
        <f t="shared" si="36"/>
        <v>0</v>
      </c>
      <c r="H118" s="621">
        <f t="shared" si="36"/>
        <v>0</v>
      </c>
      <c r="I118" s="621">
        <f t="shared" si="21"/>
        <v>0</v>
      </c>
      <c r="J118" s="621" t="str">
        <f t="shared" si="22"/>
        <v/>
      </c>
      <c r="K118" s="624">
        <f t="shared" si="36"/>
        <v>0</v>
      </c>
      <c r="L118" s="101"/>
    </row>
    <row r="119" spans="1:12" x14ac:dyDescent="0.25">
      <c r="A119" s="705" t="str">
        <f t="shared" si="23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1"/>
        <v>0</v>
      </c>
      <c r="J119" s="411" t="str">
        <f t="shared" si="22"/>
        <v/>
      </c>
      <c r="K119" s="749"/>
      <c r="L119" s="101"/>
    </row>
    <row r="120" spans="1:12" x14ac:dyDescent="0.25">
      <c r="A120" s="705" t="str">
        <f t="shared" si="23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1"/>
        <v>0</v>
      </c>
      <c r="J120" s="411" t="str">
        <f t="shared" si="22"/>
        <v/>
      </c>
      <c r="K120" s="749"/>
      <c r="L120" s="101"/>
    </row>
    <row r="121" spans="1:12" x14ac:dyDescent="0.25">
      <c r="A121" s="705" t="str">
        <f t="shared" si="23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1"/>
        <v>0</v>
      </c>
      <c r="J121" s="411" t="str">
        <f t="shared" si="22"/>
        <v/>
      </c>
      <c r="K121" s="749"/>
      <c r="L121" s="101"/>
    </row>
    <row r="122" spans="1:12" x14ac:dyDescent="0.25">
      <c r="A122" s="417" t="str">
        <f t="shared" si="23"/>
        <v>Trading services</v>
      </c>
      <c r="B122" s="630"/>
      <c r="C122" s="615">
        <f>C123+C126+C129+C133</f>
        <v>35379867</v>
      </c>
      <c r="D122" s="615">
        <f t="shared" ref="D122:I122" si="37">D123+D126+D129+D133</f>
        <v>75590192.595104992</v>
      </c>
      <c r="E122" s="615">
        <f t="shared" si="37"/>
        <v>61817989</v>
      </c>
      <c r="F122" s="615">
        <f t="shared" si="37"/>
        <v>4903720.24</v>
      </c>
      <c r="G122" s="615">
        <f t="shared" si="37"/>
        <v>38666930.260000005</v>
      </c>
      <c r="H122" s="615">
        <f t="shared" si="37"/>
        <v>56666489.916666679</v>
      </c>
      <c r="I122" s="615">
        <f t="shared" si="37"/>
        <v>-17999559.656666674</v>
      </c>
      <c r="J122" s="615">
        <f t="shared" si="22"/>
        <v>-0.31764027881622264</v>
      </c>
      <c r="K122" s="616">
        <f>K123+K126+K129+K133</f>
        <v>0</v>
      </c>
      <c r="L122" s="101"/>
    </row>
    <row r="123" spans="1:12" x14ac:dyDescent="0.25">
      <c r="A123" s="617" t="str">
        <f t="shared" si="23"/>
        <v>Electricity</v>
      </c>
      <c r="B123" s="630"/>
      <c r="C123" s="621">
        <f t="shared" ref="C123:K123" si="38">SUM(C124:C125)</f>
        <v>35132052</v>
      </c>
      <c r="D123" s="621">
        <f t="shared" si="38"/>
        <v>48889529.2445933</v>
      </c>
      <c r="E123" s="621">
        <f t="shared" si="38"/>
        <v>51580241</v>
      </c>
      <c r="F123" s="621">
        <f t="shared" si="38"/>
        <v>3057783.16</v>
      </c>
      <c r="G123" s="621">
        <f t="shared" si="38"/>
        <v>20486650.489999998</v>
      </c>
      <c r="H123" s="621">
        <f t="shared" si="38"/>
        <v>47281887.583333336</v>
      </c>
      <c r="I123" s="621">
        <f t="shared" si="21"/>
        <v>-26795237.093333337</v>
      </c>
      <c r="J123" s="621">
        <f t="shared" si="22"/>
        <v>-0.56671250795787909</v>
      </c>
      <c r="K123" s="624">
        <f t="shared" si="38"/>
        <v>0</v>
      </c>
      <c r="L123" s="101"/>
    </row>
    <row r="124" spans="1:12" x14ac:dyDescent="0.25">
      <c r="A124" s="705" t="str">
        <f t="shared" si="23"/>
        <v>Electricity Distribution</v>
      </c>
      <c r="B124" s="630"/>
      <c r="C124" s="747">
        <v>35132052</v>
      </c>
      <c r="D124" s="747">
        <v>48889529.2445933</v>
      </c>
      <c r="E124" s="747">
        <v>51580241</v>
      </c>
      <c r="F124" s="747">
        <v>3057783.16</v>
      </c>
      <c r="G124" s="747">
        <v>20486650.489999998</v>
      </c>
      <c r="H124" s="747">
        <f>E124/12*11</f>
        <v>47281887.583333336</v>
      </c>
      <c r="I124" s="411">
        <f t="shared" si="21"/>
        <v>-26795237.093333337</v>
      </c>
      <c r="J124" s="411">
        <f t="shared" si="22"/>
        <v>-0.56671250795787909</v>
      </c>
      <c r="K124" s="749"/>
      <c r="L124" s="101"/>
    </row>
    <row r="125" spans="1:12" x14ac:dyDescent="0.25">
      <c r="A125" s="705" t="str">
        <f t="shared" si="23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1"/>
        <v>0</v>
      </c>
      <c r="J125" s="411" t="str">
        <f t="shared" si="22"/>
        <v/>
      </c>
      <c r="K125" s="749"/>
      <c r="L125" s="101"/>
    </row>
    <row r="126" spans="1:12" x14ac:dyDescent="0.25">
      <c r="A126" s="617" t="str">
        <f t="shared" si="23"/>
        <v>Water</v>
      </c>
      <c r="B126" s="630"/>
      <c r="C126" s="621">
        <f t="shared" ref="C126:K126" si="39">SUM(C127:C128)</f>
        <v>150566</v>
      </c>
      <c r="D126" s="621">
        <f t="shared" si="39"/>
        <v>7941888.9834000003</v>
      </c>
      <c r="E126" s="621">
        <f t="shared" si="39"/>
        <v>-8865082</v>
      </c>
      <c r="F126" s="621">
        <f t="shared" si="39"/>
        <v>527593.89999999991</v>
      </c>
      <c r="G126" s="621">
        <f t="shared" si="39"/>
        <v>6328731.9000000004</v>
      </c>
      <c r="H126" s="621">
        <f t="shared" si="39"/>
        <v>-8126325.166666667</v>
      </c>
      <c r="I126" s="621">
        <f t="shared" si="21"/>
        <v>14455057.066666666</v>
      </c>
      <c r="J126" s="621">
        <f t="shared" si="22"/>
        <v>-1.7787938299540109</v>
      </c>
      <c r="K126" s="624">
        <f t="shared" si="39"/>
        <v>0</v>
      </c>
      <c r="L126" s="101"/>
    </row>
    <row r="127" spans="1:12" x14ac:dyDescent="0.25">
      <c r="A127" s="705" t="str">
        <f t="shared" si="23"/>
        <v>Water Distribution</v>
      </c>
      <c r="B127" s="630"/>
      <c r="C127" s="747">
        <v>150566</v>
      </c>
      <c r="D127" s="747">
        <v>7941888.9834000003</v>
      </c>
      <c r="E127" s="747">
        <v>-8865082</v>
      </c>
      <c r="F127" s="747">
        <v>527593.89999999991</v>
      </c>
      <c r="G127" s="747">
        <v>6328731.9000000004</v>
      </c>
      <c r="H127" s="747">
        <f>E127/12*11</f>
        <v>-8126325.166666667</v>
      </c>
      <c r="I127" s="411">
        <f t="shared" si="21"/>
        <v>14455057.066666666</v>
      </c>
      <c r="J127" s="411">
        <f t="shared" si="22"/>
        <v>-1.7787938299540109</v>
      </c>
      <c r="K127" s="749"/>
      <c r="L127" s="101"/>
    </row>
    <row r="128" spans="1:12" x14ac:dyDescent="0.25">
      <c r="A128" s="705" t="str">
        <f t="shared" si="23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1"/>
        <v>0</v>
      </c>
      <c r="J128" s="411" t="str">
        <f t="shared" si="22"/>
        <v/>
      </c>
      <c r="K128" s="749"/>
      <c r="L128" s="101"/>
    </row>
    <row r="129" spans="1:12" x14ac:dyDescent="0.25">
      <c r="A129" s="617" t="str">
        <f t="shared" si="23"/>
        <v>Waste water management</v>
      </c>
      <c r="B129" s="630"/>
      <c r="C129" s="621">
        <f t="shared" ref="C129:K129" si="40">SUM(C130:C132)</f>
        <v>0</v>
      </c>
      <c r="D129" s="621">
        <f t="shared" si="40"/>
        <v>12540437.093828721</v>
      </c>
      <c r="E129" s="621">
        <f t="shared" si="40"/>
        <v>12271999</v>
      </c>
      <c r="F129" s="621">
        <f t="shared" si="40"/>
        <v>941062.67000000016</v>
      </c>
      <c r="G129" s="621">
        <f t="shared" si="40"/>
        <v>8282213.3399999999</v>
      </c>
      <c r="H129" s="621">
        <f t="shared" si="40"/>
        <v>11249332.416666668</v>
      </c>
      <c r="I129" s="621">
        <f t="shared" si="21"/>
        <v>-2967119.0766666681</v>
      </c>
      <c r="J129" s="621">
        <f t="shared" si="22"/>
        <v>-0.26375956961416436</v>
      </c>
      <c r="K129" s="624">
        <f t="shared" si="40"/>
        <v>0</v>
      </c>
      <c r="L129" s="101"/>
    </row>
    <row r="130" spans="1:12" x14ac:dyDescent="0.25">
      <c r="A130" s="705" t="str">
        <f t="shared" si="23"/>
        <v>Sewerage</v>
      </c>
      <c r="B130" s="630"/>
      <c r="C130" s="747"/>
      <c r="D130" s="747">
        <v>12540437.093828721</v>
      </c>
      <c r="E130" s="747">
        <v>12271999</v>
      </c>
      <c r="F130" s="747">
        <v>941062.67000000016</v>
      </c>
      <c r="G130" s="747">
        <v>8282213.3399999999</v>
      </c>
      <c r="H130" s="747">
        <f>E130/12*11</f>
        <v>11249332.416666668</v>
      </c>
      <c r="I130" s="411">
        <f t="shared" si="21"/>
        <v>-2967119.0766666681</v>
      </c>
      <c r="J130" s="411">
        <f t="shared" si="22"/>
        <v>-0.26375956961416436</v>
      </c>
      <c r="K130" s="749"/>
      <c r="L130" s="101"/>
    </row>
    <row r="131" spans="1:12" x14ac:dyDescent="0.25">
      <c r="A131" s="705" t="str">
        <f t="shared" si="23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1"/>
        <v>0</v>
      </c>
      <c r="J131" s="411" t="str">
        <f t="shared" si="22"/>
        <v/>
      </c>
      <c r="K131" s="749"/>
      <c r="L131" s="101"/>
    </row>
    <row r="132" spans="1:12" x14ac:dyDescent="0.25">
      <c r="A132" s="705" t="str">
        <f t="shared" si="23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1"/>
        <v>0</v>
      </c>
      <c r="J132" s="411" t="str">
        <f t="shared" si="22"/>
        <v/>
      </c>
      <c r="K132" s="749"/>
      <c r="L132" s="101"/>
    </row>
    <row r="133" spans="1:12" x14ac:dyDescent="0.25">
      <c r="A133" s="617" t="str">
        <f t="shared" si="23"/>
        <v>Waste management</v>
      </c>
      <c r="B133" s="630"/>
      <c r="C133" s="621">
        <f t="shared" ref="C133:K133" si="41">SUM(C134)</f>
        <v>97249</v>
      </c>
      <c r="D133" s="621">
        <f t="shared" si="41"/>
        <v>6218337.2732829805</v>
      </c>
      <c r="E133" s="621">
        <f t="shared" si="41"/>
        <v>6830831</v>
      </c>
      <c r="F133" s="621">
        <f t="shared" si="41"/>
        <v>377280.51</v>
      </c>
      <c r="G133" s="621">
        <f t="shared" si="41"/>
        <v>3569334.53</v>
      </c>
      <c r="H133" s="621">
        <f t="shared" si="41"/>
        <v>6261595.083333333</v>
      </c>
      <c r="I133" s="621">
        <f t="shared" si="21"/>
        <v>-2692260.5533333332</v>
      </c>
      <c r="J133" s="621">
        <f t="shared" si="22"/>
        <v>-0.42996401356251862</v>
      </c>
      <c r="K133" s="624">
        <f t="shared" si="41"/>
        <v>0</v>
      </c>
      <c r="L133" s="101"/>
    </row>
    <row r="134" spans="1:12" x14ac:dyDescent="0.25">
      <c r="A134" s="705" t="str">
        <f t="shared" si="23"/>
        <v>Solid Waste</v>
      </c>
      <c r="B134" s="418"/>
      <c r="C134" s="747">
        <v>97249</v>
      </c>
      <c r="D134" s="747">
        <v>6218337.2732829805</v>
      </c>
      <c r="E134" s="747">
        <v>6830831</v>
      </c>
      <c r="F134" s="747">
        <v>377280.51</v>
      </c>
      <c r="G134" s="747">
        <v>3569334.53</v>
      </c>
      <c r="H134" s="947">
        <f>E134/12*11</f>
        <v>6261595.083333333</v>
      </c>
      <c r="I134" s="411">
        <f t="shared" si="21"/>
        <v>-2692260.5533333332</v>
      </c>
      <c r="J134" s="411">
        <f t="shared" si="22"/>
        <v>-0.42996401356251862</v>
      </c>
      <c r="K134" s="749"/>
      <c r="L134" s="101"/>
    </row>
    <row r="135" spans="1:12" x14ac:dyDescent="0.25">
      <c r="A135" s="417" t="str">
        <f t="shared" si="23"/>
        <v>Other</v>
      </c>
      <c r="B135" s="418"/>
      <c r="C135" s="621">
        <f t="shared" ref="C135:K135" si="42">SUM(C136:C140)</f>
        <v>0</v>
      </c>
      <c r="D135" s="621">
        <f t="shared" si="42"/>
        <v>0</v>
      </c>
      <c r="E135" s="621">
        <f t="shared" si="42"/>
        <v>0</v>
      </c>
      <c r="F135" s="621">
        <f t="shared" si="42"/>
        <v>0</v>
      </c>
      <c r="G135" s="621">
        <f t="shared" si="42"/>
        <v>0</v>
      </c>
      <c r="H135" s="621">
        <f t="shared" si="42"/>
        <v>0</v>
      </c>
      <c r="I135" s="621">
        <f t="shared" si="21"/>
        <v>0</v>
      </c>
      <c r="J135" s="621" t="str">
        <f t="shared" si="22"/>
        <v/>
      </c>
      <c r="K135" s="624">
        <f t="shared" si="42"/>
        <v>0</v>
      </c>
      <c r="L135" s="101"/>
    </row>
    <row r="136" spans="1:12" x14ac:dyDescent="0.25">
      <c r="A136" s="617" t="str">
        <f t="shared" si="23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1"/>
        <v>0</v>
      </c>
      <c r="J136" s="411" t="str">
        <f t="shared" si="22"/>
        <v/>
      </c>
      <c r="K136" s="749"/>
      <c r="L136" s="101"/>
    </row>
    <row r="137" spans="1:12" x14ac:dyDescent="0.25">
      <c r="A137" s="617" t="str">
        <f t="shared" si="23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1"/>
        <v>0</v>
      </c>
      <c r="J137" s="411" t="str">
        <f t="shared" si="22"/>
        <v/>
      </c>
      <c r="K137" s="749"/>
      <c r="L137" s="101"/>
    </row>
    <row r="138" spans="1:12" x14ac:dyDescent="0.25">
      <c r="A138" s="617" t="str">
        <f t="shared" si="23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1"/>
        <v>0</v>
      </c>
      <c r="J138" s="411" t="str">
        <f t="shared" si="22"/>
        <v/>
      </c>
      <c r="K138" s="749"/>
      <c r="L138" s="101"/>
    </row>
    <row r="139" spans="1:12" x14ac:dyDescent="0.25">
      <c r="A139" s="617" t="str">
        <f t="shared" si="23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3">D75+D85+D107+D122+D135</f>
        <v>256505812.39484406</v>
      </c>
      <c r="E141" s="549">
        <f t="shared" si="43"/>
        <v>283289814.31989497</v>
      </c>
      <c r="F141" s="549">
        <f t="shared" si="43"/>
        <v>15527438.700000001</v>
      </c>
      <c r="G141" s="549">
        <f t="shared" si="43"/>
        <v>182917781.93000001</v>
      </c>
      <c r="H141" s="549">
        <f t="shared" si="43"/>
        <v>259682329.79323706</v>
      </c>
      <c r="I141" s="549">
        <f t="shared" si="43"/>
        <v>-76764547.863237068</v>
      </c>
      <c r="J141" s="549">
        <f>IF(I141=0,"",I141/H141)</f>
        <v>-0.29560943913418425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4">C72-C141</f>
        <v>-25301423</v>
      </c>
      <c r="D142" s="77">
        <f t="shared" si="44"/>
        <v>105703023.1179601</v>
      </c>
      <c r="E142" s="77">
        <f t="shared" si="44"/>
        <v>67694435.070105016</v>
      </c>
      <c r="F142" s="77">
        <f t="shared" si="44"/>
        <v>-6976044.7000000011</v>
      </c>
      <c r="G142" s="77">
        <f t="shared" si="44"/>
        <v>44273044.189999998</v>
      </c>
      <c r="H142" s="77">
        <f t="shared" si="44"/>
        <v>66481685.939262897</v>
      </c>
      <c r="I142" s="644">
        <f>G142-H142</f>
        <v>-22208641.749262899</v>
      </c>
      <c r="J142" s="644">
        <f>IF(I142=0,"",I142/H142)</f>
        <v>-0.33405653655583473</v>
      </c>
      <c r="K142" s="235">
        <f t="shared" si="44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91" t="s">
        <v>235</v>
      </c>
      <c r="B147" s="991"/>
      <c r="C147" s="991"/>
      <c r="D147" s="991"/>
      <c r="E147" s="991"/>
      <c r="F147" s="991"/>
      <c r="G147" s="991"/>
      <c r="H147" s="991"/>
      <c r="I147" s="991"/>
      <c r="J147" s="991"/>
      <c r="K147" s="991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2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8CEE15C-A44A-4C9E-B8A4-245618347CA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SC1!Print_Area</vt:lpstr>
      <vt:lpstr>SC10!Print_Area</vt:lpstr>
      <vt:lpstr>SC11!Print_Area</vt:lpstr>
      <vt:lpstr>SC12!Print_Area</vt:lpstr>
      <vt:lpstr>SC13a!Print_Area</vt:lpstr>
      <vt:lpstr>SC2!Print_Area</vt:lpstr>
      <vt:lpstr>SC3!Print_Area</vt:lpstr>
      <vt:lpstr>SC4!Print_Area</vt:lpstr>
      <vt:lpstr>SC5!Print_Area</vt:lpstr>
      <vt:lpstr>SC6!Print_Area</vt:lpstr>
      <vt:lpstr>'SC7(1)'!Print_Area</vt:lpstr>
      <vt:lpstr>'SC7(2)'!Print_Area</vt:lpstr>
      <vt:lpstr>SC8!Print_Area</vt:lpstr>
      <vt:lpstr>SC9!Print_Area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2016-06-20T09:06:48Z</cp:lastPrinted>
  <dcterms:created xsi:type="dcterms:W3CDTF">2004-04-07T16:19:08Z</dcterms:created>
  <dcterms:modified xsi:type="dcterms:W3CDTF">2016-08-12T07:20:41Z</dcterms:modified>
</cp:coreProperties>
</file>